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24226"/>
  <mc:AlternateContent xmlns:mc="http://schemas.openxmlformats.org/markup-compatibility/2006">
    <mc:Choice Requires="x15">
      <x15ac:absPath xmlns:x15ac="http://schemas.microsoft.com/office/spreadsheetml/2010/11/ac" url="H:\Mijn Documenten\Producten\dakelementen\Besteltool\tool bevestigers\webversie\"/>
    </mc:Choice>
  </mc:AlternateContent>
  <xr:revisionPtr revIDLastSave="0" documentId="8_{34BC07DF-499C-422D-BEEA-FA07779F5EBC}" xr6:coauthVersionLast="45" xr6:coauthVersionMax="45" xr10:uidLastSave="{00000000-0000-0000-0000-000000000000}"/>
  <workbookProtection workbookAlgorithmName="SHA-512" workbookHashValue="JuwXb/1u6v6cv0PEXABiVQTO0rcUTn0GxYdE6qH27i48C5A9J7uYK1T/UX0igJi5fz9SJmPCYb96f7xux1oFhg==" workbookSaltValue="2v8plA3+1fhEKDPLlhfjQQ==" workbookSpinCount="100000" lockStructure="1"/>
  <bookViews>
    <workbookView xWindow="-120" yWindow="-120" windowWidth="29040" windowHeight="15840" tabRatio="617" firstSheet="1" activeTab="1" xr2:uid="{00000000-000D-0000-FFFF-FFFF00000000}"/>
  </bookViews>
  <sheets>
    <sheet name="Blad1 (2)" sheetId="8" state="hidden" r:id="rId1"/>
    <sheet name="Menu" sheetId="11" r:id="rId2"/>
    <sheet name="SlimFix" sheetId="5" r:id="rId3"/>
    <sheet name="SlimFix Reno+" sheetId="12" r:id="rId4"/>
    <sheet name="SlimFix RenoTwin" sheetId="14" r:id="rId5"/>
    <sheet name="calcu" sheetId="6" state="hidden" r:id="rId6"/>
    <sheet name="lijst RC" sheetId="10" state="hidden" r:id="rId7"/>
    <sheet name=" lijst slimfix" sheetId="4" state="hidden" r:id="rId8"/>
    <sheet name="lijst reno" sheetId="7" state="hidden" r:id="rId9"/>
    <sheet name="lijst renotwin" sheetId="13" state="hidden" r:id="rId10"/>
  </sheets>
  <definedNames>
    <definedName name="_xlnm._FilterDatabase" localSheetId="7" hidden="1">' lijst slimfix'!$A$4:$M$106</definedName>
    <definedName name="_xlnm._FilterDatabase" localSheetId="8" hidden="1">'lijst reno'!$A$4:$F$13</definedName>
    <definedName name="_xlnm._FilterDatabase" localSheetId="9" hidden="1">'lijst renotwin'!$A$4:$I$15</definedName>
    <definedName name="_xlnm.Print_Area" localSheetId="2">SlimFix!$A$1:$M$77</definedName>
    <definedName name="_xlnm.Print_Area" localSheetId="3">'SlimFix Reno+'!$A$1:$M$72</definedName>
    <definedName name="_xlnm.Print_Area" localSheetId="4">'SlimFix RenoTwin'!$A$1:$M$96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7" i="6" l="1"/>
  <c r="S36" i="6"/>
  <c r="R12" i="6"/>
  <c r="R18" i="6" s="1"/>
  <c r="R17" i="6" l="1"/>
  <c r="G12" i="6" l="1"/>
  <c r="G18" i="6" l="1"/>
  <c r="G17" i="6"/>
  <c r="H37" i="6"/>
  <c r="H36" i="6"/>
  <c r="E5" i="13" l="1"/>
  <c r="B78" i="14"/>
  <c r="J69" i="14"/>
  <c r="I69" i="14"/>
  <c r="J63" i="14"/>
  <c r="B63" i="14"/>
  <c r="I63" i="14"/>
  <c r="H70" i="14"/>
  <c r="G69" i="14"/>
  <c r="B69" i="14"/>
  <c r="B68" i="14"/>
  <c r="H64" i="14"/>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G63" i="14"/>
  <c r="B62" i="14" l="1"/>
  <c r="I50" i="13"/>
  <c r="I55" i="13" s="1"/>
  <c r="I42" i="13"/>
  <c r="I48" i="13" s="1"/>
  <c r="G66" i="14"/>
  <c r="G83" i="14"/>
  <c r="I56" i="13" l="1"/>
  <c r="I52" i="13"/>
  <c r="I53" i="13"/>
  <c r="I54" i="13"/>
  <c r="I47" i="13"/>
  <c r="I44" i="13"/>
  <c r="I45" i="13"/>
  <c r="I46" i="13"/>
  <c r="B85" i="14"/>
  <c r="G87" i="14"/>
  <c r="B76" i="14"/>
  <c r="D5" i="13"/>
  <c r="N5" i="13"/>
  <c r="J66" i="14"/>
  <c r="I66" i="14"/>
  <c r="B66" i="14"/>
  <c r="B65" i="14"/>
  <c r="F69" i="14" l="1"/>
  <c r="G70" i="14"/>
  <c r="G64" i="14"/>
  <c r="F63" i="14"/>
  <c r="C79" i="14" s="1"/>
  <c r="F60" i="14"/>
  <c r="L66" i="14"/>
  <c r="F66" i="14" s="1"/>
  <c r="G85" i="14"/>
  <c r="H85" i="14"/>
  <c r="G82" i="14"/>
  <c r="I82" i="14" s="1"/>
  <c r="F5" i="13"/>
  <c r="G5" i="13"/>
  <c r="H79" i="14" l="1"/>
  <c r="B79" i="14"/>
  <c r="G79" i="14" s="1"/>
  <c r="C15" i="13"/>
  <c r="C14" i="13"/>
  <c r="C13" i="13"/>
  <c r="C12" i="13"/>
  <c r="C11" i="13"/>
  <c r="C10" i="13"/>
  <c r="C9" i="13"/>
  <c r="C8" i="13"/>
  <c r="C7" i="13"/>
  <c r="C6"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D79" i="14" l="1"/>
  <c r="C75" i="14"/>
  <c r="C76" i="14"/>
  <c r="C5" i="13"/>
  <c r="B88" i="14" s="1"/>
  <c r="H5" i="7"/>
  <c r="G5" i="7"/>
  <c r="I53" i="12"/>
  <c r="B53" i="12"/>
  <c r="B52" i="12"/>
  <c r="M5" i="7"/>
  <c r="F50" i="12" s="1"/>
  <c r="C58" i="12" s="1"/>
  <c r="C13" i="7"/>
  <c r="C12" i="7"/>
  <c r="C11" i="7"/>
  <c r="C10" i="7"/>
  <c r="C9" i="7"/>
  <c r="C8" i="7"/>
  <c r="C7" i="7"/>
  <c r="C6" i="7"/>
  <c r="C5" i="7"/>
  <c r="J53" i="12"/>
  <c r="H76" i="14" l="1"/>
  <c r="G75" i="14"/>
  <c r="H75" i="14"/>
  <c r="B87" i="14"/>
  <c r="H87" i="14" s="1"/>
  <c r="G76" i="14"/>
  <c r="D88" i="14"/>
  <c r="B63" i="12"/>
  <c r="B67" i="12" s="1"/>
  <c r="B64" i="12"/>
  <c r="G64" i="12" s="1"/>
  <c r="D76" i="14"/>
  <c r="D75" i="14"/>
  <c r="G61" i="12"/>
  <c r="I61" i="12" s="1"/>
  <c r="I5" i="7"/>
  <c r="G58" i="12" s="1"/>
  <c r="H58" i="12"/>
  <c r="F53" i="12"/>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H106" i="4"/>
  <c r="W106" i="4" s="1"/>
  <c r="H105" i="4"/>
  <c r="H104" i="4"/>
  <c r="W104" i="4" s="1"/>
  <c r="H103" i="4"/>
  <c r="W103" i="4" s="1"/>
  <c r="H102" i="4"/>
  <c r="W102" i="4" s="1"/>
  <c r="H101" i="4"/>
  <c r="W101" i="4" s="1"/>
  <c r="H100" i="4"/>
  <c r="W100" i="4" s="1"/>
  <c r="H99" i="4"/>
  <c r="W99" i="4" s="1"/>
  <c r="H98" i="4"/>
  <c r="W98" i="4" s="1"/>
  <c r="H97" i="4"/>
  <c r="W97" i="4" s="1"/>
  <c r="H96" i="4"/>
  <c r="H95" i="4"/>
  <c r="W95" i="4" s="1"/>
  <c r="H94" i="4"/>
  <c r="H93" i="4"/>
  <c r="W93" i="4" s="1"/>
  <c r="H92" i="4"/>
  <c r="W92" i="4" s="1"/>
  <c r="H91" i="4"/>
  <c r="W91" i="4" s="1"/>
  <c r="H90" i="4"/>
  <c r="W90" i="4" s="1"/>
  <c r="H89" i="4"/>
  <c r="W89" i="4" s="1"/>
  <c r="H88" i="4"/>
  <c r="W88" i="4" s="1"/>
  <c r="H87" i="4"/>
  <c r="W87" i="4" s="1"/>
  <c r="H86" i="4"/>
  <c r="W86" i="4" s="1"/>
  <c r="H85" i="4"/>
  <c r="W85" i="4" s="1"/>
  <c r="H84" i="4"/>
  <c r="W84" i="4" s="1"/>
  <c r="H83" i="4"/>
  <c r="W83" i="4" s="1"/>
  <c r="H82" i="4"/>
  <c r="W82" i="4" s="1"/>
  <c r="H81" i="4"/>
  <c r="W81" i="4" s="1"/>
  <c r="H80" i="4"/>
  <c r="W80" i="4" s="1"/>
  <c r="H79" i="4"/>
  <c r="W79" i="4" s="1"/>
  <c r="H78" i="4"/>
  <c r="W78" i="4" s="1"/>
  <c r="H77" i="4"/>
  <c r="W77" i="4" s="1"/>
  <c r="H76" i="4"/>
  <c r="W76" i="4" s="1"/>
  <c r="H75" i="4"/>
  <c r="W75" i="4" s="1"/>
  <c r="H74" i="4"/>
  <c r="W74" i="4" s="1"/>
  <c r="H73" i="4"/>
  <c r="W73" i="4" s="1"/>
  <c r="H72" i="4"/>
  <c r="W72" i="4" s="1"/>
  <c r="H71" i="4"/>
  <c r="W71" i="4" s="1"/>
  <c r="H70" i="4"/>
  <c r="W70" i="4" s="1"/>
  <c r="H69" i="4"/>
  <c r="W69" i="4" s="1"/>
  <c r="H68" i="4"/>
  <c r="W68" i="4" s="1"/>
  <c r="H67" i="4"/>
  <c r="W67" i="4" s="1"/>
  <c r="H66" i="4"/>
  <c r="W66" i="4" s="1"/>
  <c r="H65" i="4"/>
  <c r="W65" i="4" s="1"/>
  <c r="H64" i="4"/>
  <c r="W64" i="4" s="1"/>
  <c r="H63" i="4"/>
  <c r="W63" i="4" s="1"/>
  <c r="H52" i="4"/>
  <c r="W52" i="4" s="1"/>
  <c r="H51" i="4"/>
  <c r="W51" i="4" s="1"/>
  <c r="H50" i="4"/>
  <c r="W50" i="4" s="1"/>
  <c r="H49" i="4"/>
  <c r="W49" i="4" s="1"/>
  <c r="H48" i="4"/>
  <c r="W48" i="4" s="1"/>
  <c r="H47" i="4"/>
  <c r="W47" i="4" s="1"/>
  <c r="H46" i="4"/>
  <c r="W46" i="4" s="1"/>
  <c r="H45" i="4"/>
  <c r="W45" i="4" s="1"/>
  <c r="H44" i="4"/>
  <c r="W44" i="4" s="1"/>
  <c r="H43" i="4"/>
  <c r="W43" i="4" s="1"/>
  <c r="H42" i="4"/>
  <c r="W42" i="4" s="1"/>
  <c r="H41" i="4"/>
  <c r="W41" i="4" s="1"/>
  <c r="H40" i="4"/>
  <c r="W40" i="4" s="1"/>
  <c r="H39" i="4"/>
  <c r="W39" i="4" s="1"/>
  <c r="H38" i="4"/>
  <c r="W38" i="4" s="1"/>
  <c r="H37" i="4"/>
  <c r="W37" i="4" s="1"/>
  <c r="H36" i="4"/>
  <c r="W36" i="4" s="1"/>
  <c r="H35" i="4"/>
  <c r="W35" i="4" s="1"/>
  <c r="H34" i="4"/>
  <c r="W34" i="4" s="1"/>
  <c r="H33" i="4"/>
  <c r="W33" i="4" s="1"/>
  <c r="H32" i="4"/>
  <c r="W32" i="4" s="1"/>
  <c r="H31" i="4"/>
  <c r="W31" i="4" s="1"/>
  <c r="H30" i="4"/>
  <c r="W30" i="4" s="1"/>
  <c r="H29" i="4"/>
  <c r="W29" i="4" s="1"/>
  <c r="H28" i="4"/>
  <c r="W28" i="4" s="1"/>
  <c r="H27" i="4"/>
  <c r="W27" i="4" s="1"/>
  <c r="H26" i="4"/>
  <c r="W26" i="4" s="1"/>
  <c r="H25" i="4"/>
  <c r="W25" i="4" s="1"/>
  <c r="H24" i="4"/>
  <c r="W24" i="4" s="1"/>
  <c r="H23" i="4"/>
  <c r="W23" i="4" s="1"/>
  <c r="H22" i="4"/>
  <c r="W22" i="4" s="1"/>
  <c r="H21" i="4"/>
  <c r="W21" i="4" s="1"/>
  <c r="H20" i="4"/>
  <c r="W20" i="4" s="1"/>
  <c r="H19" i="4"/>
  <c r="W19" i="4" s="1"/>
  <c r="H18" i="4"/>
  <c r="W18" i="4" s="1"/>
  <c r="H17" i="4"/>
  <c r="W17" i="4" s="1"/>
  <c r="H16" i="4"/>
  <c r="W16" i="4" s="1"/>
  <c r="H15" i="4"/>
  <c r="W15" i="4" s="1"/>
  <c r="H14" i="4"/>
  <c r="W14" i="4" s="1"/>
  <c r="H13" i="4"/>
  <c r="W13" i="4" s="1"/>
  <c r="H12" i="4"/>
  <c r="W12" i="4" s="1"/>
  <c r="H11" i="4"/>
  <c r="W11" i="4" s="1"/>
  <c r="H10" i="4"/>
  <c r="W10" i="4" s="1"/>
  <c r="H9" i="4"/>
  <c r="W9" i="4" s="1"/>
  <c r="H8" i="4"/>
  <c r="W8" i="4" s="1"/>
  <c r="H7" i="4"/>
  <c r="W7" i="4" s="1"/>
  <c r="H6" i="4"/>
  <c r="W6" i="4" s="1"/>
  <c r="H5" i="4"/>
  <c r="W5" i="4" s="1"/>
  <c r="N21" i="6"/>
  <c r="C21" i="6"/>
  <c r="W96" i="4" l="1"/>
  <c r="W94" i="4"/>
  <c r="J94" i="4"/>
  <c r="D64" i="12"/>
  <c r="B91" i="14"/>
  <c r="D87" i="14"/>
  <c r="G63" i="12"/>
  <c r="D63" i="12"/>
  <c r="H63" i="12"/>
  <c r="W105" i="4"/>
  <c r="J66" i="5"/>
  <c r="T86" i="4" l="1"/>
  <c r="C86" i="4"/>
  <c r="T85" i="4"/>
  <c r="R85" i="4"/>
  <c r="C85" i="4"/>
  <c r="T84" i="4"/>
  <c r="R84" i="4"/>
  <c r="C84" i="4"/>
  <c r="T83" i="4"/>
  <c r="R83" i="4"/>
  <c r="C83" i="4"/>
  <c r="T82" i="4"/>
  <c r="R82" i="4"/>
  <c r="C82" i="4"/>
  <c r="T81" i="4"/>
  <c r="R81" i="4"/>
  <c r="C81" i="4"/>
  <c r="T80" i="4"/>
  <c r="R80" i="4"/>
  <c r="C80" i="4"/>
  <c r="T79" i="4"/>
  <c r="R79" i="4"/>
  <c r="C79" i="4"/>
  <c r="T70" i="4"/>
  <c r="C70" i="4"/>
  <c r="T69" i="4"/>
  <c r="R69" i="4"/>
  <c r="C69" i="4"/>
  <c r="T68" i="4"/>
  <c r="R68" i="4"/>
  <c r="C68" i="4"/>
  <c r="T67" i="4"/>
  <c r="R67" i="4"/>
  <c r="C67" i="4"/>
  <c r="T66" i="4"/>
  <c r="R66" i="4"/>
  <c r="C66" i="4"/>
  <c r="T65" i="4"/>
  <c r="R65" i="4"/>
  <c r="C65" i="4"/>
  <c r="T64" i="4"/>
  <c r="R64" i="4"/>
  <c r="C64" i="4"/>
  <c r="T63" i="4"/>
  <c r="R63" i="4"/>
  <c r="C63" i="4"/>
  <c r="J82" i="4" l="1"/>
  <c r="S82" i="4" s="1"/>
  <c r="J81" i="4"/>
  <c r="S81" i="4" s="1"/>
  <c r="J66" i="4"/>
  <c r="S66" i="4" s="1"/>
  <c r="J67" i="4"/>
  <c r="S67" i="4" s="1"/>
  <c r="J85" i="4"/>
  <c r="S85" i="4" s="1"/>
  <c r="J86" i="4"/>
  <c r="J79" i="4"/>
  <c r="S79" i="4" s="1"/>
  <c r="J83" i="4"/>
  <c r="S83" i="4" s="1"/>
  <c r="J80" i="4"/>
  <c r="S80" i="4" s="1"/>
  <c r="J84" i="4"/>
  <c r="S84" i="4" s="1"/>
  <c r="J65" i="4"/>
  <c r="S65" i="4" s="1"/>
  <c r="J63" i="4"/>
  <c r="S63" i="4" s="1"/>
  <c r="J69" i="4"/>
  <c r="S69" i="4" s="1"/>
  <c r="J70" i="4"/>
  <c r="J64" i="4"/>
  <c r="S64" i="4" s="1"/>
  <c r="J68" i="4"/>
  <c r="S68" i="4" s="1"/>
  <c r="A1" i="10"/>
  <c r="A2" i="10" s="1"/>
  <c r="A11" i="10" l="1"/>
  <c r="A3" i="10"/>
  <c r="A4" i="10"/>
  <c r="A5" i="10"/>
  <c r="A6" i="10"/>
  <c r="A8" i="10"/>
  <c r="A9" i="10"/>
  <c r="A10" i="10"/>
  <c r="A7" i="10"/>
  <c r="S29" i="6"/>
  <c r="S28" i="6"/>
  <c r="H29" i="6"/>
  <c r="H28" i="6"/>
  <c r="B65" i="5" l="1"/>
  <c r="J99" i="4" l="1"/>
  <c r="J97" i="4"/>
  <c r="J95" i="4"/>
  <c r="J96" i="4"/>
  <c r="J98" i="4"/>
  <c r="J45" i="4"/>
  <c r="J49" i="4"/>
  <c r="J103" i="4"/>
  <c r="J46" i="4"/>
  <c r="J50" i="4"/>
  <c r="J100" i="4"/>
  <c r="J104" i="4"/>
  <c r="J47" i="4"/>
  <c r="J105" i="4"/>
  <c r="J51" i="4"/>
  <c r="J101" i="4"/>
  <c r="J48" i="4"/>
  <c r="J52" i="4"/>
  <c r="J102" i="4"/>
  <c r="J106" i="4"/>
  <c r="S27" i="6"/>
  <c r="S26" i="6"/>
  <c r="N16" i="6"/>
  <c r="N15" i="6"/>
  <c r="N11" i="6"/>
  <c r="N7" i="6" s="1"/>
  <c r="N10" i="6"/>
  <c r="N35" i="6" s="1"/>
  <c r="S7" i="6"/>
  <c r="T99" i="4"/>
  <c r="T98" i="4"/>
  <c r="T97" i="4"/>
  <c r="T96" i="4"/>
  <c r="T95" i="4"/>
  <c r="T44" i="4"/>
  <c r="T43" i="4"/>
  <c r="T42" i="4"/>
  <c r="T41" i="4"/>
  <c r="T40" i="4"/>
  <c r="T39" i="4"/>
  <c r="T38" i="4"/>
  <c r="T37" i="4"/>
  <c r="T34" i="4"/>
  <c r="T33" i="4"/>
  <c r="T32" i="4"/>
  <c r="T31" i="4"/>
  <c r="T30" i="4"/>
  <c r="T29" i="4"/>
  <c r="T28" i="4"/>
  <c r="T27" i="4"/>
  <c r="T24" i="4"/>
  <c r="T23" i="4"/>
  <c r="T22" i="4"/>
  <c r="T21" i="4"/>
  <c r="T20" i="4"/>
  <c r="T19" i="4"/>
  <c r="T18" i="4"/>
  <c r="T17" i="4"/>
  <c r="T14" i="4"/>
  <c r="T13" i="4"/>
  <c r="T12" i="4"/>
  <c r="T11" i="4"/>
  <c r="T10" i="4"/>
  <c r="T9" i="4"/>
  <c r="T8" i="4"/>
  <c r="R106" i="4"/>
  <c r="R105" i="4"/>
  <c r="R104" i="4"/>
  <c r="R103" i="4"/>
  <c r="R102" i="4"/>
  <c r="R101" i="4"/>
  <c r="R100" i="4"/>
  <c r="R62" i="4"/>
  <c r="R61" i="4"/>
  <c r="R60" i="4"/>
  <c r="R59" i="4"/>
  <c r="R58" i="4"/>
  <c r="R57" i="4"/>
  <c r="R56" i="4"/>
  <c r="R55" i="4"/>
  <c r="R54" i="4"/>
  <c r="R53" i="4"/>
  <c r="R52" i="4"/>
  <c r="R51" i="4"/>
  <c r="R50" i="4"/>
  <c r="R49" i="4"/>
  <c r="R48" i="4"/>
  <c r="R47" i="4"/>
  <c r="R46" i="4"/>
  <c r="R45" i="4"/>
  <c r="R43" i="4"/>
  <c r="R42" i="4"/>
  <c r="R41" i="4"/>
  <c r="R40" i="4"/>
  <c r="R39" i="4"/>
  <c r="R38" i="4"/>
  <c r="R37" i="4"/>
  <c r="R36" i="4"/>
  <c r="R35" i="4"/>
  <c r="R34" i="4"/>
  <c r="R33" i="4"/>
  <c r="R32" i="4"/>
  <c r="R31" i="4"/>
  <c r="R30" i="4"/>
  <c r="R29" i="4"/>
  <c r="R28" i="4"/>
  <c r="R27" i="4"/>
  <c r="R26" i="4"/>
  <c r="R25" i="4"/>
  <c r="R23" i="4"/>
  <c r="R22" i="4"/>
  <c r="R21" i="4"/>
  <c r="R20" i="4"/>
  <c r="R19" i="4"/>
  <c r="R18" i="4"/>
  <c r="R17" i="4"/>
  <c r="R16" i="4"/>
  <c r="R15" i="4"/>
  <c r="R14" i="4"/>
  <c r="R13" i="4"/>
  <c r="R12" i="4"/>
  <c r="R11" i="4"/>
  <c r="R10" i="4"/>
  <c r="R9" i="4"/>
  <c r="R8" i="4"/>
  <c r="R7" i="4"/>
  <c r="R6" i="4"/>
  <c r="R5" i="4"/>
  <c r="N8" i="6" l="1"/>
  <c r="N18" i="6" s="1"/>
  <c r="P18" i="6" s="1"/>
  <c r="S18" i="6" s="1"/>
  <c r="J5" i="4"/>
  <c r="J9" i="4"/>
  <c r="S9" i="4" s="1"/>
  <c r="J13" i="4"/>
  <c r="S13" i="4" s="1"/>
  <c r="J17" i="4"/>
  <c r="S17" i="4" s="1"/>
  <c r="J19" i="4"/>
  <c r="S19" i="4" s="1"/>
  <c r="J23" i="4"/>
  <c r="S23" i="4" s="1"/>
  <c r="J27" i="4"/>
  <c r="S27" i="4" s="1"/>
  <c r="J29" i="4"/>
  <c r="S29" i="4" s="1"/>
  <c r="J33" i="4"/>
  <c r="S33" i="4" s="1"/>
  <c r="J35" i="4"/>
  <c r="J37" i="4"/>
  <c r="S37" i="4" s="1"/>
  <c r="J39" i="4"/>
  <c r="S39" i="4" s="1"/>
  <c r="J41" i="4"/>
  <c r="S41" i="4" s="1"/>
  <c r="J43" i="4"/>
  <c r="S43" i="4" s="1"/>
  <c r="J71" i="4"/>
  <c r="J73" i="4"/>
  <c r="J75" i="4"/>
  <c r="J77" i="4"/>
  <c r="J87" i="4"/>
  <c r="J89" i="4"/>
  <c r="J91" i="4"/>
  <c r="J93" i="4"/>
  <c r="J7" i="4"/>
  <c r="J11" i="4"/>
  <c r="S11" i="4" s="1"/>
  <c r="J15" i="4"/>
  <c r="J21" i="4"/>
  <c r="S21" i="4" s="1"/>
  <c r="J25" i="4"/>
  <c r="J31" i="4"/>
  <c r="S31" i="4" s="1"/>
  <c r="J8" i="4"/>
  <c r="S8" i="4" s="1"/>
  <c r="J12" i="4"/>
  <c r="S12" i="4" s="1"/>
  <c r="J16" i="4"/>
  <c r="J20" i="4"/>
  <c r="S20" i="4" s="1"/>
  <c r="J44" i="4"/>
  <c r="J74" i="4"/>
  <c r="J78" i="4"/>
  <c r="J90" i="4"/>
  <c r="J24" i="4"/>
  <c r="J28" i="4"/>
  <c r="S28" i="4" s="1"/>
  <c r="J32" i="4"/>
  <c r="S32" i="4" s="1"/>
  <c r="J36" i="4"/>
  <c r="J40" i="4"/>
  <c r="S40" i="4" s="1"/>
  <c r="J30" i="4"/>
  <c r="S30" i="4" s="1"/>
  <c r="J6" i="4"/>
  <c r="J10" i="4"/>
  <c r="S10" i="4" s="1"/>
  <c r="J14" i="4"/>
  <c r="S14" i="4" s="1"/>
  <c r="J18" i="4"/>
  <c r="S18" i="4" s="1"/>
  <c r="J22" i="4"/>
  <c r="S22" i="4" s="1"/>
  <c r="J72" i="4"/>
  <c r="J76" i="4"/>
  <c r="J88" i="4"/>
  <c r="J92" i="4"/>
  <c r="J26" i="4"/>
  <c r="J34" i="4"/>
  <c r="S34" i="4" s="1"/>
  <c r="J38" i="4"/>
  <c r="S38" i="4" s="1"/>
  <c r="J42" i="4"/>
  <c r="S42" i="4" s="1"/>
  <c r="C16" i="6" l="1"/>
  <c r="C15" i="6"/>
  <c r="C10" i="6"/>
  <c r="C35" i="6" s="1"/>
  <c r="C11" i="6"/>
  <c r="H29" i="8"/>
  <c r="H28" i="8"/>
  <c r="H27" i="8"/>
  <c r="H26" i="8"/>
  <c r="C25" i="8"/>
  <c r="C14" i="8"/>
  <c r="C17" i="8" s="1"/>
  <c r="E17" i="8" s="1"/>
  <c r="H17" i="8" s="1"/>
  <c r="H19" i="8" s="1"/>
  <c r="H21" i="8" s="1"/>
  <c r="F10" i="8"/>
  <c r="H7" i="8"/>
  <c r="C7" i="8"/>
  <c r="C8" i="8" s="1"/>
  <c r="C18" i="8" s="1"/>
  <c r="E18" i="8" s="1"/>
  <c r="H18" i="8" s="1"/>
  <c r="I29" i="8" l="1"/>
  <c r="I27" i="8"/>
  <c r="I28" i="8"/>
  <c r="I26" i="8"/>
  <c r="AB5" i="4"/>
  <c r="C106" i="4" l="1"/>
  <c r="C105" i="4"/>
  <c r="C104" i="4"/>
  <c r="C103" i="4"/>
  <c r="C102" i="4"/>
  <c r="C101" i="4"/>
  <c r="C100" i="4"/>
  <c r="C97" i="4"/>
  <c r="C96" i="4"/>
  <c r="C95" i="4"/>
  <c r="C99" i="4"/>
  <c r="C98" i="4"/>
  <c r="C94" i="4"/>
  <c r="C93" i="4"/>
  <c r="C92" i="4"/>
  <c r="C91" i="4"/>
  <c r="C90" i="4"/>
  <c r="C89" i="4"/>
  <c r="C88" i="4"/>
  <c r="C87" i="4"/>
  <c r="C78" i="4"/>
  <c r="C77" i="4"/>
  <c r="C76" i="4"/>
  <c r="C75" i="4"/>
  <c r="C74" i="4"/>
  <c r="C73" i="4"/>
  <c r="C72" i="4"/>
  <c r="C71"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I62" i="5" l="1"/>
  <c r="F62" i="5"/>
  <c r="I66" i="5"/>
  <c r="B62" i="5"/>
  <c r="H62" i="5" s="1"/>
  <c r="F66" i="5"/>
  <c r="B66" i="5"/>
  <c r="H66" i="5" s="1"/>
  <c r="B73" i="5"/>
  <c r="G75" i="5"/>
  <c r="N25" i="6"/>
  <c r="B72" i="5"/>
  <c r="N14" i="6"/>
  <c r="C25" i="6"/>
  <c r="C14" i="6"/>
  <c r="AC16" i="4" a="1"/>
  <c r="AC16" i="4" s="1"/>
  <c r="AC14" i="4" a="1"/>
  <c r="AC14" i="4" s="1"/>
  <c r="AC12" i="4" a="1"/>
  <c r="AC12" i="4" s="1"/>
  <c r="D73" i="5" l="1"/>
  <c r="E73" i="5"/>
  <c r="H73" i="5"/>
  <c r="D72" i="5"/>
  <c r="H72" i="5"/>
  <c r="E72" i="5"/>
  <c r="H27" i="6" l="1"/>
  <c r="H26" i="6"/>
  <c r="C17" i="6"/>
  <c r="E17" i="6" s="1"/>
  <c r="H17" i="6" s="1"/>
  <c r="H7" i="6"/>
  <c r="C7" i="6"/>
  <c r="C8" i="6" l="1"/>
  <c r="C18" i="6" s="1"/>
  <c r="E18" i="6" s="1"/>
  <c r="H18" i="6" s="1"/>
  <c r="H19" i="6" s="1"/>
  <c r="H21" i="6" s="1"/>
  <c r="I36" i="6" l="1"/>
  <c r="I37" i="6"/>
  <c r="I27" i="6"/>
  <c r="I26" i="6"/>
  <c r="I29" i="6"/>
  <c r="I28" i="6"/>
  <c r="N93" i="4" l="1"/>
  <c r="N91" i="4"/>
  <c r="N89" i="4"/>
  <c r="N87" i="4"/>
  <c r="N94" i="4"/>
  <c r="N92" i="4"/>
  <c r="N90" i="4"/>
  <c r="N88" i="4"/>
  <c r="N75" i="4"/>
  <c r="N71" i="4"/>
  <c r="N78" i="4"/>
  <c r="N74" i="4"/>
  <c r="N77" i="4"/>
  <c r="N73" i="4"/>
  <c r="N76" i="4"/>
  <c r="N72" i="4"/>
  <c r="N84" i="4"/>
  <c r="N80" i="4"/>
  <c r="N81" i="4"/>
  <c r="N83" i="4"/>
  <c r="N79" i="4"/>
  <c r="N86" i="4"/>
  <c r="N82" i="4"/>
  <c r="N85" i="4"/>
  <c r="N68" i="4"/>
  <c r="N64" i="4"/>
  <c r="N67" i="4"/>
  <c r="N63" i="4"/>
  <c r="N65" i="4"/>
  <c r="N70" i="4"/>
  <c r="N66" i="4"/>
  <c r="N69" i="4"/>
  <c r="N96" i="4"/>
  <c r="N99" i="4"/>
  <c r="N95" i="4"/>
  <c r="N97" i="4"/>
  <c r="N98" i="4"/>
  <c r="N106" i="4"/>
  <c r="N102" i="4"/>
  <c r="N51" i="4"/>
  <c r="N47" i="4"/>
  <c r="N100" i="4"/>
  <c r="N52" i="4"/>
  <c r="N105" i="4"/>
  <c r="N101" i="4"/>
  <c r="N50" i="4"/>
  <c r="N46" i="4"/>
  <c r="N49" i="4"/>
  <c r="N45" i="4"/>
  <c r="N103" i="4"/>
  <c r="N48" i="4"/>
  <c r="N104" i="4"/>
  <c r="N35" i="4"/>
  <c r="N36" i="4"/>
  <c r="N26" i="4"/>
  <c r="N25" i="4"/>
  <c r="N33" i="4"/>
  <c r="N29" i="4"/>
  <c r="N44" i="4"/>
  <c r="N42" i="4"/>
  <c r="N40" i="4"/>
  <c r="N38" i="4"/>
  <c r="N34" i="4"/>
  <c r="N32" i="4"/>
  <c r="N30" i="4"/>
  <c r="N28" i="4"/>
  <c r="N43" i="4"/>
  <c r="N41" i="4"/>
  <c r="N39" i="4"/>
  <c r="N37" i="4"/>
  <c r="N31" i="4"/>
  <c r="N27" i="4"/>
  <c r="N22" i="4"/>
  <c r="N14" i="4"/>
  <c r="N8" i="4"/>
  <c r="N23" i="4"/>
  <c r="N21" i="4"/>
  <c r="N19" i="4"/>
  <c r="N17" i="4"/>
  <c r="N13" i="4"/>
  <c r="N11" i="4"/>
  <c r="N9" i="4"/>
  <c r="N24" i="4"/>
  <c r="N20" i="4"/>
  <c r="N12" i="4"/>
  <c r="N18" i="4"/>
  <c r="N10" i="4"/>
  <c r="N5" i="4"/>
  <c r="N15" i="4"/>
  <c r="N7" i="4"/>
  <c r="N16" i="4"/>
  <c r="N6" i="4"/>
  <c r="N17" i="6" l="1"/>
  <c r="P17" i="6" s="1"/>
  <c r="S17" i="6" s="1"/>
  <c r="S19" i="6" s="1"/>
  <c r="S21" i="6" s="1"/>
  <c r="T36" i="6" l="1"/>
  <c r="T37" i="6"/>
  <c r="T29" i="6"/>
  <c r="T28" i="6"/>
  <c r="T27" i="6"/>
  <c r="T26" i="6"/>
  <c r="O92" i="4" l="1"/>
  <c r="O91" i="4"/>
  <c r="O88" i="4"/>
  <c r="P88" i="4" s="1"/>
  <c r="O93" i="4"/>
  <c r="P93" i="4" s="1"/>
  <c r="O90" i="4"/>
  <c r="P90" i="4" s="1"/>
  <c r="O89" i="4"/>
  <c r="O87" i="4"/>
  <c r="P87" i="4" s="1"/>
  <c r="O94" i="4"/>
  <c r="P94" i="4" s="1"/>
  <c r="V94" i="4" s="1"/>
  <c r="O78" i="4"/>
  <c r="O73" i="4"/>
  <c r="O74" i="4"/>
  <c r="P74" i="4" s="1"/>
  <c r="O72" i="4"/>
  <c r="P72" i="4" s="1"/>
  <c r="O71" i="4"/>
  <c r="O76" i="4"/>
  <c r="O75" i="4"/>
  <c r="O77" i="4"/>
  <c r="O80" i="4"/>
  <c r="P80" i="4" s="1"/>
  <c r="O84" i="4"/>
  <c r="P84" i="4" s="1"/>
  <c r="O83" i="4"/>
  <c r="P83" i="4" s="1"/>
  <c r="O85" i="4"/>
  <c r="P85" i="4" s="1"/>
  <c r="O81" i="4"/>
  <c r="P81" i="4" s="1"/>
  <c r="O79" i="4"/>
  <c r="P79" i="4" s="1"/>
  <c r="O82" i="4"/>
  <c r="P82" i="4" s="1"/>
  <c r="O86" i="4"/>
  <c r="P86" i="4" s="1"/>
  <c r="O68" i="4"/>
  <c r="P68" i="4" s="1"/>
  <c r="O64" i="4"/>
  <c r="P64" i="4" s="1"/>
  <c r="O70" i="4"/>
  <c r="P70" i="4" s="1"/>
  <c r="O66" i="4"/>
  <c r="P66" i="4" s="1"/>
  <c r="O65" i="4"/>
  <c r="P65" i="4" s="1"/>
  <c r="O67" i="4"/>
  <c r="P67" i="4" s="1"/>
  <c r="O69" i="4"/>
  <c r="P69" i="4" s="1"/>
  <c r="O63" i="4"/>
  <c r="P63" i="4" s="1"/>
  <c r="O99" i="4"/>
  <c r="P99" i="4" s="1"/>
  <c r="O95" i="4"/>
  <c r="P95" i="4" s="1"/>
  <c r="O98" i="4"/>
  <c r="P98" i="4" s="1"/>
  <c r="O97" i="4"/>
  <c r="P97" i="4" s="1"/>
  <c r="O96" i="4"/>
  <c r="P96" i="4" s="1"/>
  <c r="O106" i="4"/>
  <c r="P106" i="4" s="1"/>
  <c r="O102" i="4"/>
  <c r="P102" i="4" s="1"/>
  <c r="O51" i="4"/>
  <c r="P51" i="4" s="1"/>
  <c r="O47" i="4"/>
  <c r="P47" i="4" s="1"/>
  <c r="O105" i="4"/>
  <c r="P105" i="4" s="1"/>
  <c r="O101" i="4"/>
  <c r="P101" i="4" s="1"/>
  <c r="O50" i="4"/>
  <c r="P50" i="4" s="1"/>
  <c r="O46" i="4"/>
  <c r="P46" i="4" s="1"/>
  <c r="O45" i="4"/>
  <c r="P45" i="4" s="1"/>
  <c r="O52" i="4"/>
  <c r="P52" i="4" s="1"/>
  <c r="O100" i="4"/>
  <c r="P100" i="4" s="1"/>
  <c r="O104" i="4"/>
  <c r="P104" i="4" s="1"/>
  <c r="O49" i="4"/>
  <c r="P49" i="4" s="1"/>
  <c r="O48" i="4"/>
  <c r="P48" i="4" s="1"/>
  <c r="O103" i="4"/>
  <c r="P103" i="4" s="1"/>
  <c r="O36" i="4"/>
  <c r="P36" i="4" s="1"/>
  <c r="O26" i="4"/>
  <c r="P26" i="4" s="1"/>
  <c r="O25" i="4"/>
  <c r="P25" i="4" s="1"/>
  <c r="O35" i="4"/>
  <c r="P35" i="4" s="1"/>
  <c r="P92" i="4"/>
  <c r="O44" i="4"/>
  <c r="P44" i="4" s="1"/>
  <c r="O42" i="4"/>
  <c r="P42" i="4" s="1"/>
  <c r="O40" i="4"/>
  <c r="P40" i="4" s="1"/>
  <c r="O38" i="4"/>
  <c r="P38" i="4" s="1"/>
  <c r="O34" i="4"/>
  <c r="P34" i="4" s="1"/>
  <c r="O32" i="4"/>
  <c r="P32" i="4" s="1"/>
  <c r="O30" i="4"/>
  <c r="P30" i="4" s="1"/>
  <c r="O28" i="4"/>
  <c r="P28" i="4" s="1"/>
  <c r="P91" i="4"/>
  <c r="P89" i="4"/>
  <c r="O43" i="4"/>
  <c r="P43" i="4" s="1"/>
  <c r="O41" i="4"/>
  <c r="P41" i="4" s="1"/>
  <c r="O39" i="4"/>
  <c r="P39" i="4" s="1"/>
  <c r="O37" i="4"/>
  <c r="P37" i="4" s="1"/>
  <c r="O33" i="4"/>
  <c r="P33" i="4" s="1"/>
  <c r="O31" i="4"/>
  <c r="P31" i="4" s="1"/>
  <c r="O29" i="4"/>
  <c r="P29" i="4" s="1"/>
  <c r="O27" i="4"/>
  <c r="P27" i="4" s="1"/>
  <c r="P78" i="4"/>
  <c r="P76" i="4"/>
  <c r="O23" i="4"/>
  <c r="P23" i="4" s="1"/>
  <c r="O21" i="4"/>
  <c r="P21" i="4" s="1"/>
  <c r="O19" i="4"/>
  <c r="P19" i="4" s="1"/>
  <c r="O17" i="4"/>
  <c r="P17" i="4" s="1"/>
  <c r="O13" i="4"/>
  <c r="P13" i="4" s="1"/>
  <c r="O11" i="4"/>
  <c r="P11" i="4" s="1"/>
  <c r="O9" i="4"/>
  <c r="P9" i="4" s="1"/>
  <c r="O14" i="4"/>
  <c r="P14" i="4" s="1"/>
  <c r="O10" i="4"/>
  <c r="P10" i="4" s="1"/>
  <c r="P75" i="4"/>
  <c r="P73" i="4"/>
  <c r="O24" i="4"/>
  <c r="P24" i="4" s="1"/>
  <c r="O22" i="4"/>
  <c r="P22" i="4" s="1"/>
  <c r="O20" i="4"/>
  <c r="P20" i="4" s="1"/>
  <c r="O12" i="4"/>
  <c r="P12" i="4" s="1"/>
  <c r="O18" i="4"/>
  <c r="P18" i="4" s="1"/>
  <c r="O8" i="4"/>
  <c r="P8" i="4" s="1"/>
  <c r="O5" i="4"/>
  <c r="O16" i="4"/>
  <c r="P16" i="4" s="1"/>
  <c r="O6" i="4"/>
  <c r="P6" i="4" s="1"/>
  <c r="P71" i="4"/>
  <c r="Z71" i="4" s="1"/>
  <c r="O15" i="4"/>
  <c r="P15" i="4" s="1"/>
  <c r="O7" i="4"/>
  <c r="P7" i="4" s="1"/>
  <c r="V85" i="4" l="1"/>
  <c r="U85" i="4"/>
  <c r="U83" i="4"/>
  <c r="V83" i="4"/>
  <c r="U79" i="4"/>
  <c r="V79" i="4"/>
  <c r="V84" i="4"/>
  <c r="U84" i="4"/>
  <c r="V86" i="4"/>
  <c r="U86" i="4"/>
  <c r="U82" i="4"/>
  <c r="V82" i="4"/>
  <c r="V81" i="4"/>
  <c r="U81" i="4"/>
  <c r="V80" i="4"/>
  <c r="U80" i="4"/>
  <c r="U67" i="4"/>
  <c r="V67" i="4"/>
  <c r="V64" i="4"/>
  <c r="U64" i="4"/>
  <c r="V65" i="4"/>
  <c r="U65" i="4"/>
  <c r="V68" i="4"/>
  <c r="U68" i="4"/>
  <c r="U63" i="4"/>
  <c r="V63" i="4"/>
  <c r="U66" i="4"/>
  <c r="V66" i="4"/>
  <c r="V69" i="4"/>
  <c r="U69" i="4"/>
  <c r="V70" i="4"/>
  <c r="U70" i="4"/>
  <c r="Z75" i="4"/>
  <c r="S75" i="4"/>
  <c r="S91" i="4"/>
  <c r="Z91" i="4"/>
  <c r="Z78" i="4"/>
  <c r="S78" i="4"/>
  <c r="Z72" i="4"/>
  <c r="S72" i="4"/>
  <c r="Z87" i="4"/>
  <c r="S87" i="4"/>
  <c r="Z88" i="4"/>
  <c r="S88" i="4"/>
  <c r="S73" i="4"/>
  <c r="Z73" i="4"/>
  <c r="Z74" i="4"/>
  <c r="S74" i="4"/>
  <c r="Z89" i="4"/>
  <c r="S89" i="4"/>
  <c r="S90" i="4"/>
  <c r="Z90" i="4"/>
  <c r="Z76" i="4"/>
  <c r="S76" i="4"/>
  <c r="Z92" i="4"/>
  <c r="S92" i="4"/>
  <c r="S93" i="4"/>
  <c r="Z93" i="4"/>
  <c r="Z94" i="4"/>
  <c r="S94" i="4"/>
  <c r="U95" i="4"/>
  <c r="V95" i="4"/>
  <c r="V98" i="4"/>
  <c r="U98" i="4"/>
  <c r="U96" i="4"/>
  <c r="V96" i="4"/>
  <c r="V97" i="4"/>
  <c r="U97" i="4"/>
  <c r="V99" i="4"/>
  <c r="U99" i="4"/>
  <c r="V103" i="4"/>
  <c r="S103" i="4"/>
  <c r="S50" i="4"/>
  <c r="V50" i="4"/>
  <c r="S101" i="4"/>
  <c r="V101" i="4"/>
  <c r="S105" i="4"/>
  <c r="V105" i="4"/>
  <c r="V104" i="4"/>
  <c r="S104" i="4"/>
  <c r="S47" i="4"/>
  <c r="V47" i="4"/>
  <c r="V46" i="4"/>
  <c r="S46" i="4"/>
  <c r="S100" i="4"/>
  <c r="V100" i="4"/>
  <c r="S49" i="4"/>
  <c r="V49" i="4"/>
  <c r="S52" i="4"/>
  <c r="V52" i="4"/>
  <c r="V102" i="4"/>
  <c r="S102" i="4"/>
  <c r="V48" i="4"/>
  <c r="S48" i="4"/>
  <c r="S51" i="4"/>
  <c r="V51" i="4"/>
  <c r="S45" i="4"/>
  <c r="V45" i="4"/>
  <c r="S106" i="4"/>
  <c r="V106" i="4"/>
  <c r="P5" i="4"/>
  <c r="V5" i="4" s="1"/>
  <c r="P77" i="4"/>
  <c r="U28" i="4"/>
  <c r="V28" i="4"/>
  <c r="U44" i="4"/>
  <c r="V44" i="4"/>
  <c r="U19" i="4"/>
  <c r="V19" i="4"/>
  <c r="U40" i="4"/>
  <c r="V40" i="4"/>
  <c r="U31" i="4"/>
  <c r="V31" i="4"/>
  <c r="V90" i="4"/>
  <c r="V87" i="4"/>
  <c r="U38" i="4"/>
  <c r="V38" i="4"/>
  <c r="U13" i="4"/>
  <c r="V13" i="4"/>
  <c r="U18" i="4"/>
  <c r="V18" i="4"/>
  <c r="V75" i="4"/>
  <c r="U21" i="4"/>
  <c r="V21" i="4"/>
  <c r="U14" i="4"/>
  <c r="V14" i="4"/>
  <c r="U12" i="4"/>
  <c r="V12" i="4"/>
  <c r="S36" i="4"/>
  <c r="V36" i="4"/>
  <c r="U39" i="4"/>
  <c r="V39" i="4"/>
  <c r="U27" i="4"/>
  <c r="V27" i="4"/>
  <c r="V88" i="4"/>
  <c r="V89" i="4"/>
  <c r="U29" i="4"/>
  <c r="V29" i="4"/>
  <c r="U37" i="4"/>
  <c r="V37" i="4"/>
  <c r="U10" i="4"/>
  <c r="V10" i="4"/>
  <c r="V74" i="4"/>
  <c r="V73" i="4"/>
  <c r="U17" i="4"/>
  <c r="V17" i="4"/>
  <c r="U9" i="4"/>
  <c r="V9" i="4"/>
  <c r="S7" i="4"/>
  <c r="V7" i="4"/>
  <c r="S35" i="4"/>
  <c r="V35" i="4"/>
  <c r="U41" i="4"/>
  <c r="V41" i="4"/>
  <c r="V91" i="4"/>
  <c r="U23" i="4"/>
  <c r="V23" i="4"/>
  <c r="V72" i="4"/>
  <c r="S15" i="4"/>
  <c r="V15" i="4"/>
  <c r="S6" i="4"/>
  <c r="V6" i="4"/>
  <c r="S26" i="4"/>
  <c r="V26" i="4"/>
  <c r="V92" i="4"/>
  <c r="U42" i="4"/>
  <c r="V42" i="4"/>
  <c r="U24" i="4"/>
  <c r="V24" i="4"/>
  <c r="V78" i="4"/>
  <c r="U32" i="4"/>
  <c r="V32" i="4"/>
  <c r="U30" i="4"/>
  <c r="V30" i="4"/>
  <c r="U33" i="4"/>
  <c r="V33" i="4"/>
  <c r="V93" i="4"/>
  <c r="U43" i="4"/>
  <c r="V43" i="4"/>
  <c r="U34" i="4"/>
  <c r="V34" i="4"/>
  <c r="V76" i="4"/>
  <c r="U11" i="4"/>
  <c r="V11" i="4"/>
  <c r="U8" i="4"/>
  <c r="V8" i="4"/>
  <c r="U22" i="4"/>
  <c r="V22" i="4"/>
  <c r="U20" i="4"/>
  <c r="V20" i="4"/>
  <c r="S16" i="4"/>
  <c r="V16" i="4"/>
  <c r="S71" i="4"/>
  <c r="V71" i="4"/>
  <c r="S25" i="4"/>
  <c r="V25" i="4"/>
  <c r="V77" i="4" l="1"/>
  <c r="G74" i="5" s="1"/>
  <c r="S77" i="4"/>
  <c r="Z77" i="4"/>
  <c r="S5" i="4"/>
  <c r="G73" i="5"/>
  <c r="H74" i="5" l="1"/>
  <c r="E74" i="5"/>
  <c r="D74" i="5"/>
  <c r="B74" i="5"/>
  <c r="G72" i="5"/>
  <c r="B63" i="5"/>
  <c r="B67" i="5"/>
  <c r="F67" i="5" l="1"/>
  <c r="J67" i="5"/>
  <c r="I67" i="5"/>
  <c r="H67" i="5"/>
  <c r="F63" i="5"/>
  <c r="J63" i="5"/>
  <c r="H63" i="5"/>
  <c r="I6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ISOBMWOU</author>
  </authors>
  <commentList>
    <comment ref="AB8" authorId="0" shapeId="0" xr:uid="{78D3A573-F1C7-42BB-9D24-48FDAAAC3677}">
      <text>
        <r>
          <rPr>
            <b/>
            <sz val="9"/>
            <color indexed="81"/>
            <rFont val="Tahoma"/>
            <family val="2"/>
          </rPr>
          <t>MW 10-5-12:
De waarden in tabel 5.2 zijn van toepassing wanneer de sneeuw niet wordt belet om van het dak te
glijden. Waar er sneeuwschermen of andere obstakels zijn aangebracht of waar de laagste dakrand met een
borstwering is afgezet, behoort de sneeuwbelastingsvormcoëfficiënt niet tot onder 0,8 te zijn gereduceerd.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ISOBMWOU</author>
  </authors>
  <commentList>
    <comment ref="AB8" authorId="0" shapeId="0" xr:uid="{84362D2C-41ED-43EB-B2DB-C3B2B7736948}">
      <text>
        <r>
          <rPr>
            <b/>
            <sz val="9"/>
            <color indexed="81"/>
            <rFont val="Tahoma"/>
            <family val="2"/>
          </rPr>
          <t>MW 10-5-12:
De waarden in tabel 5.2 zijn van toepassing wanneer de sneeuw niet wordt belet om van het dak te
glijden. Waar er sneeuwschermen of andere obstakels zijn aangebracht of waar de laagste dakrand met een
borstwering is afgezet, behoort de sneeuwbelastingsvormcoëfficiënt niet tot onder 0,8 te zijn gereduceerd.</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<sst xmlns="http://schemas.openxmlformats.org/spreadsheetml/2006/main" count="1851" uniqueCount="310">
  <si>
    <t>type</t>
  </si>
  <si>
    <t>Product</t>
  </si>
  <si>
    <t>aantal</t>
  </si>
  <si>
    <t>maat</t>
  </si>
  <si>
    <t>RC-waarde</t>
  </si>
  <si>
    <t>SlimFix 3/3</t>
  </si>
  <si>
    <t>Keuzevelden</t>
  </si>
  <si>
    <t>Schroef</t>
  </si>
  <si>
    <t>160xØ6</t>
  </si>
  <si>
    <t>t.p.v. kruising tengel/gording</t>
  </si>
  <si>
    <t>SlimFix 3/3L</t>
  </si>
  <si>
    <t>SlimFix 8/8</t>
  </si>
  <si>
    <t>SlimFix 8/8L</t>
  </si>
  <si>
    <t>180xØ6</t>
  </si>
  <si>
    <t>200xØ6</t>
  </si>
  <si>
    <t>260xØ6</t>
  </si>
  <si>
    <t>280xØ6</t>
  </si>
  <si>
    <t>AANTAL BEVESTIGERS PER PLAAT</t>
  </si>
  <si>
    <t>SlimFix-XT 3/3R</t>
  </si>
  <si>
    <t>SlimFix-XT 8/8R</t>
  </si>
  <si>
    <t>SlimFix-XT Passief</t>
  </si>
  <si>
    <t>300xØ6</t>
  </si>
  <si>
    <t>SlimFix Reno+</t>
  </si>
  <si>
    <t>140xØ6</t>
  </si>
  <si>
    <t>SlimFix RenoTwin</t>
  </si>
  <si>
    <t>RenoTwin schroef</t>
  </si>
  <si>
    <t>SlimFix Spoor</t>
  </si>
  <si>
    <t>schroef</t>
  </si>
  <si>
    <t>n.v.t.</t>
  </si>
  <si>
    <t>1.5+4.0</t>
  </si>
  <si>
    <t>2.5+4.0</t>
  </si>
  <si>
    <t>3.0+4.0</t>
  </si>
  <si>
    <t>3.5+4.0</t>
  </si>
  <si>
    <t>4.0+4.0</t>
  </si>
  <si>
    <t>4.5+4.0</t>
  </si>
  <si>
    <t>5.5+4.0</t>
  </si>
  <si>
    <t>6.3+4.0</t>
  </si>
  <si>
    <t>SlimFix Riet</t>
  </si>
  <si>
    <t>SlimFix-XT Riet</t>
  </si>
  <si>
    <t>Hulpmaterialentool SlimFix dakelementen</t>
  </si>
  <si>
    <t>Dakvlak 1:</t>
  </si>
  <si>
    <t>Type dakelement</t>
  </si>
  <si>
    <r>
      <t>R</t>
    </r>
    <r>
      <rPr>
        <vertAlign val="subscript"/>
        <sz val="11"/>
        <color theme="1"/>
        <rFont val="Arial"/>
        <family val="2"/>
      </rPr>
      <t>C</t>
    </r>
    <r>
      <rPr>
        <sz val="11"/>
        <color theme="1"/>
        <rFont val="Arial"/>
        <family val="2"/>
      </rPr>
      <t>-waarde</t>
    </r>
  </si>
  <si>
    <t>Aantal oplegpunten</t>
  </si>
  <si>
    <t>Dakconstructie</t>
  </si>
  <si>
    <t>Eenheid</t>
  </si>
  <si>
    <t>Luchtdichte afdekprofielen</t>
  </si>
  <si>
    <t>Volgplaatjes</t>
  </si>
  <si>
    <t>Schroef 1</t>
  </si>
  <si>
    <t>Schroef 2</t>
  </si>
  <si>
    <t>MW</t>
  </si>
  <si>
    <t>SNEEUW:</t>
  </si>
  <si>
    <t>NEN-EN 1991-1-3+C1:2011/NB:2011</t>
  </si>
  <si>
    <t>Daktype:</t>
  </si>
  <si>
    <r>
      <t>Zadel / lessenaarsdak</t>
    </r>
    <r>
      <rPr>
        <sz val="8"/>
        <rFont val="Arial"/>
        <family val="2"/>
      </rPr>
      <t xml:space="preserve"> (sneeuw wordt NIET belet van dak te glijden";"sneeuw wordt belet van dak te glijden)</t>
    </r>
  </si>
  <si>
    <t>let op alphabetische volgorde!!</t>
  </si>
  <si>
    <t>μ1 =</t>
  </si>
  <si>
    <t>Ce =</t>
  </si>
  <si>
    <t>sk50 =</t>
  </si>
  <si>
    <r>
      <t>kN/m</t>
    </r>
    <r>
      <rPr>
        <vertAlign val="superscript"/>
        <sz val="10"/>
        <rFont val="Arial"/>
        <family val="2"/>
      </rPr>
      <t>2</t>
    </r>
  </si>
  <si>
    <t>gewicht</t>
  </si>
  <si>
    <t>beplating</t>
  </si>
  <si>
    <t>s = μi Ce Ct sk =</t>
  </si>
  <si>
    <t>Ct =</t>
  </si>
  <si>
    <t>V =</t>
  </si>
  <si>
    <t>SlimFix 5.5 3/3</t>
  </si>
  <si>
    <t>SlimFix 5.5 3/3L</t>
  </si>
  <si>
    <t>element :</t>
  </si>
  <si>
    <t>SlimFix 6.3 3/3</t>
  </si>
  <si>
    <t>SlimFix 5.5 8/8</t>
  </si>
  <si>
    <t>dakhelling  α =</t>
  </si>
  <si>
    <t>SlimFix 5.5 8/8L</t>
  </si>
  <si>
    <t>SlimFix 6.0 3/3</t>
  </si>
  <si>
    <t>SlimFix 6.0 3/3L</t>
  </si>
  <si>
    <t>eigen gewicht</t>
  </si>
  <si>
    <t>SlimFix 6.0 8/8</t>
  </si>
  <si>
    <t>pannen</t>
  </si>
  <si>
    <r>
      <t>kg/m</t>
    </r>
    <r>
      <rPr>
        <vertAlign val="superscript"/>
        <sz val="10"/>
        <rFont val="Arial"/>
        <family val="2"/>
      </rPr>
      <t>2</t>
    </r>
  </si>
  <si>
    <t xml:space="preserve">evenwijdig </t>
  </si>
  <si>
    <t xml:space="preserve">veiligheids </t>
  </si>
  <si>
    <t>SlimFix 6.0 8/8L</t>
  </si>
  <si>
    <t>PV opdak</t>
  </si>
  <si>
    <t>aan dakvl.</t>
  </si>
  <si>
    <t>factor γ</t>
  </si>
  <si>
    <t>tot perm.</t>
  </si>
  <si>
    <r>
      <t>kN/m</t>
    </r>
    <r>
      <rPr>
        <vertAlign val="superscript"/>
        <sz val="10"/>
        <rFont val="Arial"/>
        <family val="2"/>
      </rPr>
      <t xml:space="preserve">2 </t>
    </r>
    <r>
      <rPr>
        <sz val="10"/>
        <rFont val="Arial"/>
        <family val="2"/>
      </rPr>
      <t>=</t>
    </r>
  </si>
  <si>
    <r>
      <t>kN/m</t>
    </r>
    <r>
      <rPr>
        <vertAlign val="superscript"/>
        <sz val="10"/>
        <rFont val="Arial"/>
        <family val="2"/>
      </rPr>
      <t>1</t>
    </r>
    <r>
      <rPr>
        <sz val="10"/>
        <rFont val="Arial"/>
        <family val="2"/>
      </rPr>
      <t xml:space="preserve">   x</t>
    </r>
  </si>
  <si>
    <r>
      <t>kN/m</t>
    </r>
    <r>
      <rPr>
        <vertAlign val="superscript"/>
        <sz val="10"/>
        <rFont val="Arial"/>
        <family val="2"/>
      </rPr>
      <t>1</t>
    </r>
  </si>
  <si>
    <t>SlimFix 6.3 3/3L</t>
  </si>
  <si>
    <t>tot sneeuw</t>
  </si>
  <si>
    <t>SlimFix 6.3 8/8</t>
  </si>
  <si>
    <t>SlimFix 6.3 8/8L</t>
  </si>
  <si>
    <t>SlimFix Solar 6.0 8/8</t>
  </si>
  <si>
    <t>Daklengte =</t>
  </si>
  <si>
    <t>m</t>
  </si>
  <si>
    <t>kN/elem</t>
  </si>
  <si>
    <t>SlimFix Solar 6.0 8/8L</t>
  </si>
  <si>
    <t>elementbreedte =</t>
  </si>
  <si>
    <t>SlimFix Solar 6.3 8/8</t>
  </si>
  <si>
    <t>SlimFix Solar 6.3 8/8L</t>
  </si>
  <si>
    <t>SHR 2013</t>
  </si>
  <si>
    <t>geschat</t>
  </si>
  <si>
    <t>opgen.</t>
  </si>
  <si>
    <t>daarnaast</t>
  </si>
  <si>
    <t>spaanplaat =</t>
  </si>
  <si>
    <t>mm</t>
  </si>
  <si>
    <t>getest</t>
  </si>
  <si>
    <t>gebruikt</t>
  </si>
  <si>
    <t xml:space="preserve">door 3 ø 6 </t>
  </si>
  <si>
    <t>nog nodig</t>
  </si>
  <si>
    <r>
      <t xml:space="preserve">opneembaar door schroef </t>
    </r>
    <r>
      <rPr>
        <sz val="11"/>
        <color theme="0" tint="-0.14999847407452621"/>
        <rFont val="Calibri"/>
        <family val="2"/>
      </rPr>
      <t>ø</t>
    </r>
    <r>
      <rPr>
        <sz val="13"/>
        <color theme="0" tint="-0.14999847407452621"/>
        <rFont val="Arial"/>
        <family val="2"/>
      </rPr>
      <t xml:space="preserve"> </t>
    </r>
    <r>
      <rPr>
        <sz val="10"/>
        <color theme="0" tint="-0.14999847407452621"/>
        <rFont val="Arial"/>
        <family val="2"/>
      </rPr>
      <t>6 in 3mm plaat</t>
    </r>
  </si>
  <si>
    <t xml:space="preserve">sts ø 6 </t>
  </si>
  <si>
    <r>
      <t xml:space="preserve">opneembaar door schroef </t>
    </r>
    <r>
      <rPr>
        <sz val="11"/>
        <color theme="0" tint="-0.14999847407452621"/>
        <rFont val="Arial"/>
        <family val="2"/>
      </rPr>
      <t>ø</t>
    </r>
    <r>
      <rPr>
        <sz val="10"/>
        <color theme="0" tint="-0.14999847407452621"/>
        <rFont val="Arial"/>
        <family val="2"/>
      </rPr>
      <t xml:space="preserve"> 8 in 3mm plaat</t>
    </r>
  </si>
  <si>
    <t>?</t>
  </si>
  <si>
    <t>sts ø 8</t>
  </si>
  <si>
    <r>
      <t xml:space="preserve">opneembaar door schroef </t>
    </r>
    <r>
      <rPr>
        <sz val="11"/>
        <color theme="0" tint="-0.14999847407452621"/>
        <rFont val="Calibri"/>
        <family val="2"/>
      </rPr>
      <t>ø</t>
    </r>
    <r>
      <rPr>
        <sz val="13"/>
        <color theme="0" tint="-0.14999847407452621"/>
        <rFont val="Arial"/>
        <family val="2"/>
      </rPr>
      <t xml:space="preserve"> </t>
    </r>
    <r>
      <rPr>
        <sz val="10"/>
        <color theme="0" tint="-0.14999847407452621"/>
        <rFont val="Arial"/>
        <family val="2"/>
      </rPr>
      <t>6 in 8mm plaat</t>
    </r>
  </si>
  <si>
    <r>
      <t xml:space="preserve">opneembaar door schroef </t>
    </r>
    <r>
      <rPr>
        <sz val="11"/>
        <color theme="0" tint="-0.14999847407452621"/>
        <rFont val="Arial"/>
        <family val="2"/>
      </rPr>
      <t>ø</t>
    </r>
    <r>
      <rPr>
        <sz val="10"/>
        <color theme="0" tint="-0.14999847407452621"/>
        <rFont val="Arial"/>
        <family val="2"/>
      </rPr>
      <t xml:space="preserve"> 8 in 8mm plaat</t>
    </r>
  </si>
  <si>
    <t>samen</t>
  </si>
  <si>
    <t>dakvlakken</t>
  </si>
  <si>
    <t>_Type</t>
  </si>
  <si>
    <t>Dakhelling in graden</t>
  </si>
  <si>
    <t>dikte schr</t>
  </si>
  <si>
    <t>Aantal</t>
  </si>
  <si>
    <t>Schroef 160xØ6</t>
  </si>
  <si>
    <t>Schroef 180xØ6</t>
  </si>
  <si>
    <t>Schroef 200xØ6</t>
  </si>
  <si>
    <t>Schroef 220xØ6</t>
  </si>
  <si>
    <t>Schroef 240xØ6</t>
  </si>
  <si>
    <t>Schroef 260xØ6</t>
  </si>
  <si>
    <t>Schroef 280xØ6</t>
  </si>
  <si>
    <t>Schroef 300xØ6</t>
  </si>
  <si>
    <t>Schroef 300xØ8</t>
  </si>
  <si>
    <t>Schroef 320xØ8</t>
  </si>
  <si>
    <t>Schroef 120xØ6</t>
  </si>
  <si>
    <t>Schroef 140xØ6</t>
  </si>
  <si>
    <t>schroef 160xØ6</t>
  </si>
  <si>
    <t>schroef 180xØ6</t>
  </si>
  <si>
    <t>schroef 200xØ6</t>
  </si>
  <si>
    <t>schroef 220xØ6</t>
  </si>
  <si>
    <t>schroef 240xØ6</t>
  </si>
  <si>
    <t>schroef 260xØ6</t>
  </si>
  <si>
    <t>schroef 280xØ6</t>
  </si>
  <si>
    <t>schroef 300xØ6</t>
  </si>
  <si>
    <t>Schroef 400xØ8</t>
  </si>
  <si>
    <t>Schroef 420xØ8</t>
  </si>
  <si>
    <t>Schroef 460xØ8</t>
  </si>
  <si>
    <t>Schroef 340xØ8</t>
  </si>
  <si>
    <t>Schroef 360xØ8</t>
  </si>
  <si>
    <t>Schroef 200xØ8</t>
  </si>
  <si>
    <t>Schroef 240xØ8</t>
  </si>
  <si>
    <t>Schroef 260xØ8</t>
  </si>
  <si>
    <t>Schroef 280xØ8</t>
  </si>
  <si>
    <t>Schroef 180xØ8</t>
  </si>
  <si>
    <t>Schroef 220xØ8</t>
  </si>
  <si>
    <t xml:space="preserve"> </t>
  </si>
  <si>
    <t>afschuifkrachten</t>
  </si>
  <si>
    <t>eenheid/ds</t>
  </si>
  <si>
    <t>aantal/pl</t>
  </si>
  <si>
    <t>schroef tot.</t>
  </si>
  <si>
    <t>schroef tot</t>
  </si>
  <si>
    <t>dakvlak 1</t>
  </si>
  <si>
    <t>aantal elem</t>
  </si>
  <si>
    <t>dakvlak 2</t>
  </si>
  <si>
    <t>aantal eenheden</t>
  </si>
  <si>
    <t>Dakvlak 1</t>
  </si>
  <si>
    <t>Dakvlak 2</t>
  </si>
  <si>
    <t xml:space="preserve">AANTAL </t>
  </si>
  <si>
    <t>Lucht. Profielen</t>
  </si>
  <si>
    <t>m1</t>
  </si>
  <si>
    <r>
      <t>m</t>
    </r>
    <r>
      <rPr>
        <vertAlign val="superscript"/>
        <sz val="11"/>
        <color theme="1"/>
        <rFont val="Arial"/>
        <family val="2"/>
      </rPr>
      <t>1</t>
    </r>
  </si>
  <si>
    <r>
      <t>Gewicht pannen in kg/m</t>
    </r>
    <r>
      <rPr>
        <vertAlign val="superscript"/>
        <sz val="11"/>
        <color theme="1"/>
        <rFont val="Arial"/>
        <family val="2"/>
      </rPr>
      <t>2</t>
    </r>
  </si>
  <si>
    <r>
      <t>Gewicht PV-panelen in kg/m</t>
    </r>
    <r>
      <rPr>
        <vertAlign val="superscript"/>
        <sz val="11"/>
        <color theme="1"/>
        <rFont val="Arial"/>
        <family val="2"/>
      </rPr>
      <t>2</t>
    </r>
  </si>
  <si>
    <t>Totaal aantal gelijksoortige</t>
  </si>
  <si>
    <t xml:space="preserve">Met behulp van deze tool kunt u bij eenvoudige zadel- of lessenaarsdaken bepalen welke en hoeveel </t>
  </si>
  <si>
    <t>bevestigers en profielen u nodig heeft bij de verwerking van de diverse types SlimFix dakelementen</t>
  </si>
  <si>
    <t>Bij complexere dakconstructies geven wij u graag een projectspecifiek advies.</t>
  </si>
  <si>
    <r>
      <t xml:space="preserve">Stuur hiervoor uw projectgegevens naar </t>
    </r>
    <r>
      <rPr>
        <b/>
        <sz val="11"/>
        <color theme="9"/>
        <rFont val="Calibri"/>
        <family val="2"/>
        <scheme val="minor"/>
      </rPr>
      <t>info@isobouw.nl</t>
    </r>
  </si>
  <si>
    <t xml:space="preserve">Aantal </t>
  </si>
  <si>
    <t>Totale hoeveelheid benodigde bevestigers en hulpmaterialen</t>
  </si>
  <si>
    <t>Bevestigingsmethode</t>
  </si>
  <si>
    <t>Bevestigers</t>
  </si>
  <si>
    <t>SlimFixXT type R</t>
  </si>
  <si>
    <t>SlimFix-XT 3/3L</t>
  </si>
  <si>
    <t>SlimFix-XT 8/8L</t>
  </si>
  <si>
    <t>ATTENTIE: type op alfabetische volgorde</t>
  </si>
  <si>
    <t>Opnieuw selecteren bij typeverandering</t>
  </si>
  <si>
    <t>Minimaal 1 invullen</t>
  </si>
  <si>
    <t>dd</t>
  </si>
  <si>
    <t>d</t>
  </si>
  <si>
    <t>per oplegging</t>
  </si>
  <si>
    <t>Aan de uitkomsten van de berekeningen kunnen geen rechten worden ontleend</t>
  </si>
  <si>
    <t>Door de tengel t.p.v. elke onderliggende gording/muurplaat:</t>
  </si>
  <si>
    <t>Tussen de tengel t.p.v. elke onderliggende gording/muurplaat:</t>
  </si>
  <si>
    <t>T.p.v. elke onderliggende gording (niet muurplaat):</t>
  </si>
  <si>
    <t>T.p.v. de plaatvaste oplegging/muurplaat:</t>
  </si>
  <si>
    <t>Tussen de tengels t.p.v. de plaatvaste oplegging/muurplaat:</t>
  </si>
  <si>
    <t>Breedte in mm</t>
  </si>
  <si>
    <t>Lengte in mm</t>
  </si>
  <si>
    <t>Minimaal 1 invullen (indien van toepassing)</t>
  </si>
  <si>
    <t>(optioneel)</t>
  </si>
  <si>
    <t>Projectnaam (optioneel)</t>
  </si>
  <si>
    <r>
      <t xml:space="preserve">Dakvlak 1: </t>
    </r>
    <r>
      <rPr>
        <sz val="11"/>
        <color rgb="FFFF0000"/>
        <rFont val="Arial"/>
        <family val="2"/>
      </rPr>
      <t>Alle velden invullen m.u.v.'gewicht PV-panelen' Dat veld is optioneel.</t>
    </r>
  </si>
  <si>
    <r>
      <t xml:space="preserve">Dakvlak 2 (indien van toepassing): </t>
    </r>
    <r>
      <rPr>
        <sz val="11"/>
        <color rgb="FFFF0000"/>
        <rFont val="Arial"/>
        <family val="2"/>
      </rPr>
      <t>Alle velden invullen m.u.v.'gewicht PV-panelen' Dat veld is optioneel.</t>
    </r>
  </si>
  <si>
    <t>Hulpmaterialentool dakelementen</t>
  </si>
  <si>
    <t>Aantal oplegpunten/gordingen</t>
  </si>
  <si>
    <r>
      <t xml:space="preserve">Dakvlak 1: </t>
    </r>
    <r>
      <rPr>
        <sz val="11"/>
        <color rgb="FFFF0000"/>
        <rFont val="Arial"/>
        <family val="2"/>
      </rPr>
      <t>Alle velden invullen.</t>
    </r>
  </si>
  <si>
    <r>
      <t xml:space="preserve">Dakvlak 2 (indien van toepassing): </t>
    </r>
    <r>
      <rPr>
        <sz val="11"/>
        <color rgb="FFFF0000"/>
        <rFont val="Arial"/>
        <family val="2"/>
      </rPr>
      <t>Alle velden invullen.</t>
    </r>
  </si>
  <si>
    <r>
      <t>SlimFix Reno</t>
    </r>
    <r>
      <rPr>
        <vertAlign val="superscript"/>
        <sz val="11"/>
        <color theme="1"/>
        <rFont val="Calibri"/>
        <family val="2"/>
        <scheme val="minor"/>
      </rPr>
      <t>+</t>
    </r>
  </si>
  <si>
    <t>Door de tengel t.p.v. elke onderliggende gording</t>
  </si>
  <si>
    <t>aantal elem.</t>
  </si>
  <si>
    <t>100 st./ds</t>
  </si>
  <si>
    <t>Optioneel:</t>
  </si>
  <si>
    <t>SlimFix Reno naadprofiel 3 m</t>
  </si>
  <si>
    <t>8 st./bundel</t>
  </si>
  <si>
    <t>bundel</t>
  </si>
  <si>
    <r>
      <t>m</t>
    </r>
    <r>
      <rPr>
        <vertAlign val="superscript"/>
        <sz val="11"/>
        <color theme="1"/>
        <rFont val="Arial"/>
        <family val="2"/>
      </rPr>
      <t>1</t>
    </r>
    <r>
      <rPr>
        <sz val="11"/>
        <color theme="1"/>
        <rFont val="Arial"/>
        <family val="2"/>
      </rPr>
      <t xml:space="preserve">        oftewel</t>
    </r>
  </si>
  <si>
    <t>Verticale RenoGoot S (1,6 m, RAL 7021)</t>
  </si>
  <si>
    <t>Verticale RenoGoot M (1,6 m, RAL 7021)</t>
  </si>
  <si>
    <t>Verticale RenoGoot L (1,6 m, RAL 7021)</t>
  </si>
  <si>
    <t>Horizontale RenoGoot S (1,95 m, RAL 7021)*</t>
  </si>
  <si>
    <t>Horizontale RenoGoot M (1,95 m, RAL 7021)*</t>
  </si>
  <si>
    <t>Horizontale RenoGoot L (1,95 m, RAL 7021)*</t>
  </si>
  <si>
    <r>
      <t xml:space="preserve">* Het Horizontale RenoGoot-pakket bevat: 6x Horizontale RenoGoot (bestaande uit een kopplaat en een gootdeel), 14x brackets (ter versteviging
en koppeling) en 30x RVS-schroeven met verzonken kop Ø4 mm x 32 mm TX.
** Het Verticale RenoGoot-pakket bevat: 4x Verticale RenoGoot (bestaande uit een verholen goot en een afdekkap), 4x schuimrubberband (1,5 m) en 24x RVS-boorschroeven + rubberring Ø4.8 mm x 32 mm TX.
</t>
    </r>
    <r>
      <rPr>
        <b/>
        <sz val="11"/>
        <color theme="1"/>
        <rFont val="Calibri"/>
        <family val="2"/>
        <scheme val="minor"/>
      </rPr>
      <t>Attentie:</t>
    </r>
    <r>
      <rPr>
        <sz val="11"/>
        <color theme="1"/>
        <rFont val="Calibri"/>
        <family val="2"/>
        <scheme val="minor"/>
      </rPr>
      <t xml:space="preserve"> Bij gebruik van de RenoGoot altijd de SlimFix Reno+ platen met gootdetail bestellen.</t>
    </r>
  </si>
  <si>
    <t>doorbuiging</t>
  </si>
  <si>
    <t>dakpakket</t>
  </si>
  <si>
    <t>eenheid</t>
  </si>
  <si>
    <t>pakket</t>
  </si>
  <si>
    <t>_kies</t>
  </si>
  <si>
    <t>8x195</t>
  </si>
  <si>
    <t>50st./ds</t>
  </si>
  <si>
    <t>8x397</t>
  </si>
  <si>
    <t>8x225</t>
  </si>
  <si>
    <t>8x435</t>
  </si>
  <si>
    <t>25st./ds</t>
  </si>
  <si>
    <t>8x235</t>
  </si>
  <si>
    <t>8x255</t>
  </si>
  <si>
    <t>8x275</t>
  </si>
  <si>
    <t>8x302</t>
  </si>
  <si>
    <t>8x335</t>
  </si>
  <si>
    <t>8x365</t>
  </si>
  <si>
    <t>8x472</t>
  </si>
  <si>
    <t>SlimFix RenoTwin Solar 10.0</t>
  </si>
  <si>
    <t>SlimFix RenoTwin Solar 3.5</t>
  </si>
  <si>
    <t>SlimFix RenoTwin Solar 4.0</t>
  </si>
  <si>
    <t>SlimFix RenoTwin Solar 4.5</t>
  </si>
  <si>
    <t>SlimFix RenoTwin Solar 5.0</t>
  </si>
  <si>
    <t>SlimFix RenoTwin Solar 5.5</t>
  </si>
  <si>
    <t>SlimFix RenoTwin Solar 6.3</t>
  </si>
  <si>
    <t>SlimFix RenoTwin Solar 6.7</t>
  </si>
  <si>
    <t>SlimFix RenoTwin Solar 7.0</t>
  </si>
  <si>
    <t>SlimFix RenoTwin Solar 8.0</t>
  </si>
  <si>
    <t>SlimFix RenoTwin Solar 9.0</t>
  </si>
  <si>
    <r>
      <t>SlimFix Reno</t>
    </r>
    <r>
      <rPr>
        <b/>
        <vertAlign val="superscript"/>
        <sz val="11"/>
        <color theme="1"/>
        <rFont val="Arial"/>
        <family val="2"/>
      </rPr>
      <t>Twin</t>
    </r>
  </si>
  <si>
    <t>Uit te vlakken doorbuiging in mm</t>
  </si>
  <si>
    <t>Dikte bestaand dakpakket in mm</t>
  </si>
  <si>
    <t>SlimFix RenoTwin 3,5</t>
  </si>
  <si>
    <t>SlimFix RenoTwin 4,5</t>
  </si>
  <si>
    <t>SlimFix RenoTwin 5,5</t>
  </si>
  <si>
    <t>SlimFix RenoTwin 6,3</t>
  </si>
  <si>
    <t>SlimFix RenoTwin 6,7</t>
  </si>
  <si>
    <t>Voldraadschroef 6x120 t.b.v. kopgeveloverstek</t>
  </si>
  <si>
    <t>ds (flexoptie bij een kopgeveloverstekvoorziening,</t>
  </si>
  <si>
    <t xml:space="preserve">       volume gebas.op toepassing bij iedere boeiboord)</t>
  </si>
  <si>
    <t>SlimFix RenoTwin 10</t>
  </si>
  <si>
    <t>SlimFix RenoTwin 4</t>
  </si>
  <si>
    <t>SlimFix RenoTwin 5</t>
  </si>
  <si>
    <t>SlimFix RenoTwin 7</t>
  </si>
  <si>
    <t>SlimFix RenoTwin 8</t>
  </si>
  <si>
    <t>SlimFix RenoTwin 9</t>
  </si>
  <si>
    <t>Maak een productkeuze</t>
  </si>
  <si>
    <r>
      <t>bevestigers en profielen (optioneel) u nodig heeft bij de verwerking van de  SlimFix RenoT</t>
    </r>
    <r>
      <rPr>
        <vertAlign val="superscript"/>
        <sz val="11"/>
        <color theme="1"/>
        <rFont val="Calibri"/>
        <family val="2"/>
        <scheme val="minor"/>
      </rPr>
      <t>win</t>
    </r>
    <r>
      <rPr>
        <sz val="11"/>
        <color theme="1"/>
        <rFont val="Calibri"/>
        <family val="2"/>
        <scheme val="minor"/>
      </rPr>
      <t xml:space="preserve"> elementen</t>
    </r>
  </si>
  <si>
    <r>
      <t>bevestigers en profielen (optioneel) u nodig heeft bij de verwerking van de  SlimFix Reno</t>
    </r>
    <r>
      <rPr>
        <vertAlign val="superscript"/>
        <sz val="11"/>
        <color theme="1"/>
        <rFont val="Calibri"/>
        <family val="2"/>
        <scheme val="minor"/>
      </rPr>
      <t xml:space="preserve">+ </t>
    </r>
    <r>
      <rPr>
        <sz val="11"/>
        <color theme="1"/>
        <rFont val="Calibri"/>
        <family val="2"/>
        <scheme val="minor"/>
      </rPr>
      <t>elementen</t>
    </r>
  </si>
  <si>
    <r>
      <t>Hulpmaterialentool SlimFix Reno</t>
    </r>
    <r>
      <rPr>
        <b/>
        <vertAlign val="superscript"/>
        <sz val="14"/>
        <color theme="1"/>
        <rFont val="Arial"/>
        <family val="2"/>
      </rPr>
      <t>+</t>
    </r>
    <r>
      <rPr>
        <b/>
        <sz val="14"/>
        <color theme="1"/>
        <rFont val="Arial"/>
        <family val="2"/>
      </rPr>
      <t xml:space="preserve"> elementen</t>
    </r>
  </si>
  <si>
    <r>
      <t>Hulpmaterialentool SlimFix Reno</t>
    </r>
    <r>
      <rPr>
        <b/>
        <vertAlign val="superscript"/>
        <sz val="14"/>
        <color theme="1"/>
        <rFont val="Arial"/>
        <family val="2"/>
      </rPr>
      <t>Twin</t>
    </r>
    <r>
      <rPr>
        <b/>
        <sz val="14"/>
        <color theme="1"/>
        <rFont val="Arial"/>
        <family val="2"/>
      </rPr>
      <t xml:space="preserve"> elementen</t>
    </r>
  </si>
  <si>
    <t>aantal/toepassing afhankelijk van project</t>
  </si>
  <si>
    <t>Type</t>
  </si>
  <si>
    <t>Afstand tussen schroeven in mm bij 67° bevestiging</t>
  </si>
  <si>
    <t>Benodigde lengte in mm RenoTwin schroef</t>
  </si>
  <si>
    <r>
      <t>Reno</t>
    </r>
    <r>
      <rPr>
        <b/>
        <vertAlign val="superscript"/>
        <sz val="11"/>
        <color rgb="FF000000"/>
        <rFont val="Arial"/>
        <family val="2"/>
      </rPr>
      <t>Twin</t>
    </r>
    <r>
      <rPr>
        <b/>
        <sz val="11"/>
        <color indexed="8"/>
        <rFont val="Arial"/>
        <family val="2"/>
      </rPr>
      <t xml:space="preserve"> 3.5</t>
    </r>
  </si>
  <si>
    <r>
      <t>Reno</t>
    </r>
    <r>
      <rPr>
        <b/>
        <vertAlign val="superscript"/>
        <sz val="11"/>
        <color rgb="FF000000"/>
        <rFont val="Arial"/>
        <family val="2"/>
      </rPr>
      <t>Twin</t>
    </r>
    <r>
      <rPr>
        <b/>
        <sz val="11"/>
        <color indexed="8"/>
        <rFont val="Arial"/>
        <family val="2"/>
      </rPr>
      <t xml:space="preserve"> 4.0</t>
    </r>
  </si>
  <si>
    <r>
      <t>Reno</t>
    </r>
    <r>
      <rPr>
        <b/>
        <vertAlign val="superscript"/>
        <sz val="11"/>
        <color rgb="FF000000"/>
        <rFont val="Arial"/>
        <family val="2"/>
      </rPr>
      <t>Twin</t>
    </r>
    <r>
      <rPr>
        <b/>
        <sz val="11"/>
        <color indexed="8"/>
        <rFont val="Arial"/>
        <family val="2"/>
      </rPr>
      <t xml:space="preserve"> 4.5</t>
    </r>
  </si>
  <si>
    <r>
      <t>Reno</t>
    </r>
    <r>
      <rPr>
        <b/>
        <vertAlign val="superscript"/>
        <sz val="11"/>
        <color rgb="FF000000"/>
        <rFont val="Arial"/>
        <family val="2"/>
      </rPr>
      <t>Twin</t>
    </r>
    <r>
      <rPr>
        <b/>
        <sz val="11"/>
        <color indexed="8"/>
        <rFont val="Arial"/>
        <family val="2"/>
      </rPr>
      <t xml:space="preserve"> 5.0</t>
    </r>
  </si>
  <si>
    <r>
      <t>Reno</t>
    </r>
    <r>
      <rPr>
        <b/>
        <vertAlign val="superscript"/>
        <sz val="11"/>
        <color rgb="FF000000"/>
        <rFont val="Arial"/>
        <family val="2"/>
      </rPr>
      <t>Twin</t>
    </r>
    <r>
      <rPr>
        <b/>
        <sz val="11"/>
        <color indexed="8"/>
        <rFont val="Arial"/>
        <family val="2"/>
      </rPr>
      <t xml:space="preserve"> 5.5</t>
    </r>
  </si>
  <si>
    <r>
      <t>Reno</t>
    </r>
    <r>
      <rPr>
        <b/>
        <vertAlign val="superscript"/>
        <sz val="11"/>
        <color rgb="FF000000"/>
        <rFont val="Arial"/>
        <family val="2"/>
      </rPr>
      <t>Twin</t>
    </r>
    <r>
      <rPr>
        <b/>
        <sz val="11"/>
        <color indexed="8"/>
        <rFont val="Arial"/>
        <family val="2"/>
      </rPr>
      <t xml:space="preserve"> 6.3</t>
    </r>
  </si>
  <si>
    <r>
      <t>Reno</t>
    </r>
    <r>
      <rPr>
        <b/>
        <vertAlign val="superscript"/>
        <sz val="11"/>
        <color rgb="FF000000"/>
        <rFont val="Arial"/>
        <family val="2"/>
      </rPr>
      <t>Twin</t>
    </r>
    <r>
      <rPr>
        <b/>
        <sz val="11"/>
        <color indexed="8"/>
        <rFont val="Arial"/>
        <family val="2"/>
      </rPr>
      <t xml:space="preserve"> 6.7</t>
    </r>
  </si>
  <si>
    <r>
      <t>Reno</t>
    </r>
    <r>
      <rPr>
        <b/>
        <vertAlign val="superscript"/>
        <sz val="11"/>
        <color rgb="FF000000"/>
        <rFont val="Arial"/>
        <family val="2"/>
      </rPr>
      <t>Twin</t>
    </r>
    <r>
      <rPr>
        <b/>
        <sz val="11"/>
        <color indexed="8"/>
        <rFont val="Arial"/>
        <family val="2"/>
      </rPr>
      <t xml:space="preserve"> 7.0</t>
    </r>
  </si>
  <si>
    <r>
      <t>Reno</t>
    </r>
    <r>
      <rPr>
        <b/>
        <vertAlign val="superscript"/>
        <sz val="11"/>
        <color rgb="FF000000"/>
        <rFont val="Arial"/>
        <family val="2"/>
      </rPr>
      <t>Twin</t>
    </r>
    <r>
      <rPr>
        <b/>
        <sz val="11"/>
        <color indexed="8"/>
        <rFont val="Arial"/>
        <family val="2"/>
      </rPr>
      <t xml:space="preserve"> 8.0</t>
    </r>
  </si>
  <si>
    <r>
      <t>Reno</t>
    </r>
    <r>
      <rPr>
        <b/>
        <vertAlign val="superscript"/>
        <sz val="11"/>
        <color rgb="FF000000"/>
        <rFont val="Arial"/>
        <family val="2"/>
      </rPr>
      <t>Twin</t>
    </r>
    <r>
      <rPr>
        <b/>
        <sz val="11"/>
        <color indexed="8"/>
        <rFont val="Arial"/>
        <family val="2"/>
      </rPr>
      <t xml:space="preserve"> 9.0</t>
    </r>
  </si>
  <si>
    <r>
      <t>Reno</t>
    </r>
    <r>
      <rPr>
        <b/>
        <vertAlign val="superscript"/>
        <sz val="11"/>
        <color rgb="FF000000"/>
        <rFont val="Arial"/>
        <family val="2"/>
      </rPr>
      <t>Twin</t>
    </r>
    <r>
      <rPr>
        <b/>
        <sz val="11"/>
        <color indexed="8"/>
        <rFont val="Arial"/>
        <family val="2"/>
      </rPr>
      <t xml:space="preserve"> 10.0</t>
    </r>
  </si>
  <si>
    <t>Ja</t>
  </si>
  <si>
    <t>Nee</t>
  </si>
  <si>
    <t>Is er sprake van een gootoverstek</t>
  </si>
  <si>
    <r>
      <t>RenoTwin</t>
    </r>
    <r>
      <rPr>
        <vertAlign val="superscript"/>
        <sz val="11"/>
        <color theme="1"/>
        <rFont val="Calibri"/>
        <family val="2"/>
        <scheme val="minor"/>
      </rPr>
      <t xml:space="preserve"> </t>
    </r>
    <r>
      <rPr>
        <sz val="11"/>
        <color theme="1"/>
        <rFont val="Calibri"/>
        <family val="2"/>
        <scheme val="minor"/>
      </rPr>
      <t>schroef</t>
    </r>
  </si>
  <si>
    <t>(100</t>
  </si>
  <si>
    <t>(115</t>
  </si>
  <si>
    <t>(125</t>
  </si>
  <si>
    <t>(140</t>
  </si>
  <si>
    <t>(195</t>
  </si>
  <si>
    <t>(150</t>
  </si>
  <si>
    <t>(160</t>
  </si>
  <si>
    <t>(180</t>
  </si>
  <si>
    <t>Met behulp van deze tool kunt u bij eenvoudige zadel- of lessenaarsdaken bepalen welke</t>
  </si>
  <si>
    <t xml:space="preserve">en hoeveel bevestigers en profielen u nodig heeft bij de verwerking van de diverse types </t>
  </si>
  <si>
    <t>dakelementen</t>
  </si>
  <si>
    <r>
      <t xml:space="preserve">Stuur hiervoor uw projectgegevens naar </t>
    </r>
    <r>
      <rPr>
        <b/>
        <sz val="11"/>
        <color theme="9" tint="-0.249977111117893"/>
        <rFont val="Calibri"/>
        <family val="2"/>
        <scheme val="minor"/>
      </rPr>
      <t>info@isobouw.nl</t>
    </r>
  </si>
  <si>
    <t>Gebouwtype</t>
  </si>
  <si>
    <t>1,2 of 3 bouwlagen (ééngezinswoning)</t>
  </si>
  <si>
    <t>Meer dan 3 bouwlagen (appartement, openbaar gebouw)</t>
  </si>
  <si>
    <t>Voor Solar-elementen verwijzen wij naar de verwerkingsvoorschriften op onze site</t>
  </si>
  <si>
    <t>Bij de berekeningen is geen rekening gehouden met de toepassing van stuiknaden en/of elementen met kopgeveloverstekvoorziening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</si>
</sst>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General&quot;º&quot;"/>
    <numFmt numFmtId="166" formatCode="General\ &quot;N&quot;"/>
    <numFmt numFmtId="167" formatCode="0.00_)"/>
    <numFmt numFmtId="168" formatCode="0.000_)"/>
  </numFmts>
  <fonts count="49" x14ac:knownFonts="1">
    <font>
      <sz val="11"/>
      <color theme="1"/>
      <name val="Calibri"/>
      <family val="2"/>
      <scheme val="minor"/>
    </font>
    <font>
      <b/>
      <sz val="11"/>
      <color theme="1"/>
      <name val="Calibri"/>
      <family val="2"/>
      <scheme val="minor"/>
    </font>
    <font>
      <sz val="11"/>
      <color rgb="FFFF0000"/>
      <name val="Calibri"/>
      <family val="2"/>
      <scheme val="minor"/>
    </font>
    <font>
      <i/>
      <sz val="11"/>
      <color theme="1"/>
      <name val="Calibri"/>
      <family val="2"/>
      <scheme val="minor"/>
    </font>
    <font>
      <b/>
      <sz val="11"/>
      <color theme="1"/>
      <name val="Arial"/>
      <family val="2"/>
    </font>
    <font>
      <sz val="11"/>
      <color theme="1"/>
      <name val="Arial"/>
      <family val="2"/>
    </font>
    <font>
      <b/>
      <sz val="11"/>
      <color theme="0"/>
      <name val="Arial"/>
      <family val="2"/>
    </font>
    <font>
      <vertAlign val="subscript"/>
      <sz val="11"/>
      <color theme="1"/>
      <name val="Arial"/>
      <family val="2"/>
    </font>
    <font>
      <i/>
      <sz val="11"/>
      <color theme="1"/>
      <name val="Arial"/>
      <family val="2"/>
    </font>
    <font>
      <sz val="11"/>
      <color theme="1"/>
      <name val="Calibri"/>
      <family val="2"/>
      <scheme val="minor"/>
    </font>
    <font>
      <sz val="10"/>
      <name val="Arial"/>
      <family val="2"/>
    </font>
    <font>
      <b/>
      <sz val="10"/>
      <name val="Arial"/>
      <family val="2"/>
    </font>
    <font>
      <sz val="8"/>
      <name val="Arial"/>
      <family val="2"/>
    </font>
    <font>
      <vertAlign val="superscript"/>
      <sz val="10"/>
      <name val="Arial"/>
      <family val="2"/>
    </font>
    <font>
      <b/>
      <sz val="10"/>
      <color rgb="FF0000FF"/>
      <name val="Arial"/>
      <family val="2"/>
    </font>
    <font>
      <b/>
      <sz val="10"/>
      <color indexed="12"/>
      <name val="Arial"/>
      <family val="2"/>
    </font>
    <font>
      <sz val="10"/>
      <name val="Calibri"/>
      <family val="2"/>
    </font>
    <font>
      <sz val="10"/>
      <color theme="0" tint="-0.14999847407452621"/>
      <name val="Arial"/>
      <family val="2"/>
    </font>
    <font>
      <sz val="11"/>
      <color theme="0" tint="-0.14999847407452621"/>
      <name val="Calibri"/>
      <family val="2"/>
    </font>
    <font>
      <sz val="13"/>
      <color theme="0" tint="-0.14999847407452621"/>
      <name val="Arial"/>
      <family val="2"/>
    </font>
    <font>
      <sz val="11"/>
      <color theme="0" tint="-0.14999847407452621"/>
      <name val="Arial"/>
      <family val="2"/>
    </font>
    <font>
      <b/>
      <sz val="9"/>
      <color indexed="81"/>
      <name val="Tahoma"/>
      <family val="2"/>
    </font>
    <font>
      <sz val="9"/>
      <color indexed="81"/>
      <name val="Tahoma"/>
      <family val="2"/>
    </font>
    <font>
      <sz val="18"/>
      <name val="Arial"/>
      <family val="2"/>
    </font>
    <font>
      <sz val="18"/>
      <color theme="1"/>
      <name val="Calibri"/>
      <family val="2"/>
      <scheme val="minor"/>
    </font>
    <font>
      <b/>
      <u/>
      <sz val="11"/>
      <color theme="1"/>
      <name val="Arial"/>
      <family val="2"/>
    </font>
    <font>
      <u/>
      <sz val="11"/>
      <color theme="1"/>
      <name val="Arial"/>
      <family val="2"/>
    </font>
    <font>
      <vertAlign val="superscript"/>
      <sz val="11"/>
      <color theme="1"/>
      <name val="Arial"/>
      <family val="2"/>
    </font>
    <font>
      <b/>
      <sz val="14"/>
      <color theme="1"/>
      <name val="Arial"/>
      <family val="2"/>
    </font>
    <font>
      <b/>
      <sz val="11"/>
      <color theme="9"/>
      <name val="Calibri"/>
      <family val="2"/>
      <scheme val="minor"/>
    </font>
    <font>
      <b/>
      <sz val="11"/>
      <color rgb="FFFF0000"/>
      <name val="Calibri"/>
      <family val="2"/>
      <scheme val="minor"/>
    </font>
    <font>
      <sz val="8"/>
      <color rgb="FFFF0000"/>
      <name val="Arial"/>
      <family val="2"/>
    </font>
    <font>
      <sz val="11"/>
      <color rgb="FFFF0000"/>
      <name val="Arial"/>
      <family val="2"/>
    </font>
    <font>
      <u/>
      <sz val="11"/>
      <color theme="10"/>
      <name val="Calibri"/>
      <family val="2"/>
      <scheme val="minor"/>
    </font>
    <font>
      <sz val="10"/>
      <color theme="1"/>
      <name val="Arial"/>
      <family val="2"/>
    </font>
    <font>
      <vertAlign val="superscript"/>
      <sz val="11"/>
      <color theme="1"/>
      <name val="Calibri"/>
      <family val="2"/>
      <scheme val="minor"/>
    </font>
    <font>
      <b/>
      <vertAlign val="superscript"/>
      <sz val="11"/>
      <color theme="1"/>
      <name val="Arial"/>
      <family val="2"/>
    </font>
    <font>
      <sz val="11"/>
      <color theme="9" tint="0.79998168889431442"/>
      <name val="Arial"/>
      <family val="2"/>
    </font>
    <font>
      <u/>
      <sz val="11"/>
      <color theme="1"/>
      <name val="Calibri"/>
      <family val="2"/>
      <scheme val="minor"/>
    </font>
    <font>
      <b/>
      <vertAlign val="superscript"/>
      <sz val="14"/>
      <color theme="1"/>
      <name val="Arial"/>
      <family val="2"/>
    </font>
    <font>
      <b/>
      <sz val="22"/>
      <color theme="1"/>
      <name val="Arial"/>
      <family val="2"/>
    </font>
    <font>
      <b/>
      <sz val="11"/>
      <color indexed="9"/>
      <name val="Arial"/>
      <family val="2"/>
    </font>
    <font>
      <sz val="11"/>
      <color theme="0"/>
      <name val="Arial"/>
      <family val="2"/>
    </font>
    <font>
      <b/>
      <sz val="11"/>
      <color indexed="8"/>
      <name val="Arial"/>
      <family val="2"/>
    </font>
    <font>
      <b/>
      <vertAlign val="superscript"/>
      <sz val="11"/>
      <color rgb="FF000000"/>
      <name val="Arial"/>
      <family val="2"/>
    </font>
    <font>
      <b/>
      <sz val="10"/>
      <color theme="1"/>
      <name val="Arial"/>
      <family val="2"/>
    </font>
    <font>
      <sz val="11"/>
      <color theme="1"/>
      <name val="Calibri"/>
      <family val="2"/>
    </font>
    <font>
      <b/>
      <sz val="11"/>
      <color theme="9" tint="-0.249977111117893"/>
      <name val="Calibri"/>
      <family val="2"/>
      <scheme val="minor"/>
    </font>
    <font>
      <sz val="8"/>
      <color theme="1"/>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indexed="51"/>
        <bgColor indexed="64"/>
      </patternFill>
    </fill>
    <fill>
      <patternFill patternType="solid">
        <fgColor indexed="47"/>
        <bgColor indexed="64"/>
      </patternFill>
    </fill>
    <fill>
      <patternFill patternType="solid">
        <fgColor theme="9" tint="-0.249977111117893"/>
        <bgColor indexed="64"/>
      </patternFill>
    </fill>
    <fill>
      <patternFill patternType="solid">
        <fgColor indexed="5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s>
  <cellStyleXfs count="3">
    <xf numFmtId="0" fontId="0" fillId="0" borderId="0"/>
    <xf numFmtId="43" fontId="9" fillId="0" borderId="0" applyFont="0" applyFill="0" applyBorder="0" applyAlignment="0" applyProtection="0"/>
    <xf numFmtId="0" fontId="33" fillId="0" borderId="0" applyNumberFormat="0" applyFill="0" applyBorder="0" applyAlignment="0" applyProtection="0"/>
  </cellStyleXfs>
  <cellXfs count="234">
    <xf numFmtId="0" fontId="0" fillId="0" borderId="0" xfId="0"/>
    <xf numFmtId="0" fontId="0" fillId="0" borderId="1" xfId="0" applyBorder="1"/>
    <xf numFmtId="0" fontId="0" fillId="0" borderId="1" xfId="0" applyBorder="1" applyAlignment="1">
      <alignment horizontal="center"/>
    </xf>
    <xf numFmtId="0" fontId="0" fillId="2" borderId="1" xfId="0" applyFill="1" applyBorder="1"/>
    <xf numFmtId="0" fontId="0" fillId="3" borderId="1" xfId="0" applyFill="1" applyBorder="1" applyAlignment="1">
      <alignment horizontal="center"/>
    </xf>
    <xf numFmtId="0" fontId="0" fillId="4" borderId="1" xfId="0" applyFill="1" applyBorder="1" applyAlignment="1">
      <alignment horizontal="center"/>
    </xf>
    <xf numFmtId="0" fontId="0" fillId="4" borderId="1" xfId="0" applyFill="1" applyBorder="1"/>
    <xf numFmtId="0" fontId="0" fillId="5" borderId="1" xfId="0" applyFill="1" applyBorder="1" applyAlignment="1">
      <alignment horizontal="center"/>
    </xf>
    <xf numFmtId="0" fontId="0" fillId="6"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7" borderId="0" xfId="0" applyFill="1"/>
    <xf numFmtId="164" fontId="0" fillId="0" borderId="1" xfId="0" applyNumberFormat="1" applyBorder="1" applyAlignment="1">
      <alignment horizontal="center"/>
    </xf>
    <xf numFmtId="0" fontId="0" fillId="5" borderId="1" xfId="0" applyFill="1" applyBorder="1"/>
    <xf numFmtId="0" fontId="0" fillId="6" borderId="1" xfId="0" applyFill="1" applyBorder="1"/>
    <xf numFmtId="0" fontId="0" fillId="2" borderId="1" xfId="0" applyFill="1" applyBorder="1" applyAlignment="1">
      <alignment horizontal="center"/>
    </xf>
    <xf numFmtId="0" fontId="0" fillId="0" borderId="1" xfId="0" applyFont="1" applyBorder="1"/>
    <xf numFmtId="0" fontId="0" fillId="8" borderId="0" xfId="0" applyFill="1"/>
    <xf numFmtId="0" fontId="6" fillId="9" borderId="0" xfId="0" applyFont="1" applyFill="1" applyAlignment="1"/>
    <xf numFmtId="0" fontId="6" fillId="7" borderId="0" xfId="0" applyFont="1" applyFill="1" applyAlignment="1"/>
    <xf numFmtId="0" fontId="4" fillId="7" borderId="0" xfId="0" applyFont="1" applyFill="1" applyAlignment="1"/>
    <xf numFmtId="0" fontId="5" fillId="7" borderId="0" xfId="0" applyFont="1" applyFill="1" applyAlignment="1"/>
    <xf numFmtId="0" fontId="8" fillId="7" borderId="0" xfId="0" applyFont="1" applyFill="1" applyAlignment="1"/>
    <xf numFmtId="0" fontId="6" fillId="7" borderId="0" xfId="0" applyFont="1" applyFill="1" applyBorder="1" applyAlignment="1"/>
    <xf numFmtId="0" fontId="2" fillId="8" borderId="0" xfId="0" applyFont="1" applyFill="1"/>
    <xf numFmtId="0" fontId="3" fillId="8" borderId="0" xfId="0" applyFont="1" applyFill="1"/>
    <xf numFmtId="0" fontId="0" fillId="2" borderId="1" xfId="0" applyFill="1" applyBorder="1" applyAlignment="1">
      <alignment horizontal="center"/>
    </xf>
    <xf numFmtId="0" fontId="0" fillId="0" borderId="1" xfId="0" applyBorder="1" applyAlignment="1">
      <alignment horizontal="center"/>
    </xf>
    <xf numFmtId="0" fontId="10" fillId="0" borderId="9" xfId="0" applyFont="1" applyBorder="1"/>
    <xf numFmtId="0" fontId="10" fillId="0" borderId="0" xfId="0" applyFont="1"/>
    <xf numFmtId="14" fontId="10" fillId="0" borderId="0" xfId="0" applyNumberFormat="1" applyFont="1"/>
    <xf numFmtId="0" fontId="10" fillId="8" borderId="2" xfId="0" applyFont="1" applyFill="1" applyBorder="1"/>
    <xf numFmtId="0" fontId="11" fillId="8" borderId="3" xfId="0" applyFont="1" applyFill="1" applyBorder="1"/>
    <xf numFmtId="0" fontId="10" fillId="8" borderId="3" xfId="0" applyFont="1" applyFill="1" applyBorder="1"/>
    <xf numFmtId="0" fontId="10" fillId="8" borderId="4" xfId="0" applyFont="1" applyFill="1" applyBorder="1"/>
    <xf numFmtId="0" fontId="10" fillId="0" borderId="0" xfId="0" applyFont="1" applyAlignment="1">
      <alignment vertical="top"/>
    </xf>
    <xf numFmtId="0" fontId="0" fillId="0" borderId="0" xfId="0" applyAlignment="1">
      <alignment horizontal="right"/>
    </xf>
    <xf numFmtId="0" fontId="10" fillId="0" borderId="5" xfId="0" applyFont="1" applyBorder="1" applyAlignment="1">
      <alignment horizontal="right" vertical="top"/>
    </xf>
    <xf numFmtId="0" fontId="10" fillId="0" borderId="6" xfId="0" applyFont="1" applyBorder="1" applyAlignment="1">
      <alignment vertical="top"/>
    </xf>
    <xf numFmtId="0" fontId="12" fillId="0" borderId="6" xfId="0" applyFont="1" applyBorder="1" applyAlignment="1">
      <alignment vertical="center"/>
    </xf>
    <xf numFmtId="0" fontId="10" fillId="0" borderId="7" xfId="0" applyFont="1" applyBorder="1" applyAlignment="1">
      <alignment vertical="top"/>
    </xf>
    <xf numFmtId="0" fontId="10" fillId="0" borderId="12" xfId="0" applyFont="1" applyBorder="1"/>
    <xf numFmtId="0" fontId="10" fillId="0" borderId="0" xfId="0" applyFont="1" applyAlignment="1">
      <alignment horizontal="right"/>
    </xf>
    <xf numFmtId="2" fontId="10" fillId="0" borderId="0" xfId="0" applyNumberFormat="1" applyFont="1" applyAlignment="1">
      <alignment horizontal="center" vertical="top"/>
    </xf>
    <xf numFmtId="0" fontId="10" fillId="0" borderId="0" xfId="0" applyFont="1" applyAlignment="1">
      <alignment horizontal="left"/>
    </xf>
    <xf numFmtId="164" fontId="10" fillId="0" borderId="0" xfId="0" applyNumberFormat="1" applyFont="1" applyAlignment="1">
      <alignment horizontal="left"/>
    </xf>
    <xf numFmtId="0" fontId="10" fillId="0" borderId="13" xfId="0" applyFont="1" applyBorder="1" applyAlignment="1">
      <alignment vertical="top"/>
    </xf>
    <xf numFmtId="0" fontId="10" fillId="0" borderId="0" xfId="0" applyFont="1" applyAlignment="1">
      <alignment horizontal="center"/>
    </xf>
    <xf numFmtId="0" fontId="10" fillId="0" borderId="8" xfId="0" applyFont="1" applyBorder="1"/>
    <xf numFmtId="0" fontId="10" fillId="0" borderId="9" xfId="0" applyFont="1" applyBorder="1" applyAlignment="1">
      <alignment horizontal="right"/>
    </xf>
    <xf numFmtId="2" fontId="10" fillId="0" borderId="9" xfId="0" applyNumberFormat="1" applyFont="1" applyBorder="1" applyAlignment="1">
      <alignment horizontal="center" vertical="top"/>
    </xf>
    <xf numFmtId="0" fontId="10" fillId="0" borderId="9" xfId="0" applyFont="1" applyBorder="1" applyAlignment="1">
      <alignment vertical="top"/>
    </xf>
    <xf numFmtId="0" fontId="10" fillId="0" borderId="9" xfId="0" applyFont="1" applyBorder="1" applyAlignment="1">
      <alignment horizontal="left"/>
    </xf>
    <xf numFmtId="0" fontId="10" fillId="0" borderId="9" xfId="0" applyFont="1" applyBorder="1" applyAlignment="1">
      <alignment horizontal="right" vertical="top"/>
    </xf>
    <xf numFmtId="0" fontId="10" fillId="0" borderId="9" xfId="0" applyFont="1" applyBorder="1" applyAlignment="1">
      <alignment horizontal="left" vertical="top"/>
    </xf>
    <xf numFmtId="0" fontId="10" fillId="0" borderId="10" xfId="0" applyFont="1" applyBorder="1" applyAlignment="1">
      <alignment vertical="top"/>
    </xf>
    <xf numFmtId="0" fontId="10" fillId="0" borderId="0" xfId="0" applyFont="1" applyAlignment="1">
      <alignment horizontal="right" vertical="top"/>
    </xf>
    <xf numFmtId="165" fontId="15" fillId="0" borderId="0" xfId="0" applyNumberFormat="1" applyFont="1" applyAlignment="1">
      <alignment horizontal="center" vertical="top"/>
    </xf>
    <xf numFmtId="0" fontId="14" fillId="0" borderId="0" xfId="0" applyFont="1" applyAlignment="1">
      <alignment horizontal="center"/>
    </xf>
    <xf numFmtId="0" fontId="14" fillId="0" borderId="9" xfId="0" applyFont="1" applyBorder="1" applyAlignment="1">
      <alignment horizontal="center"/>
    </xf>
    <xf numFmtId="0" fontId="16" fillId="0" borderId="0" xfId="0" applyFont="1"/>
    <xf numFmtId="2" fontId="10" fillId="0" borderId="0" xfId="0" applyNumberFormat="1" applyFont="1" applyAlignment="1">
      <alignment horizontal="center"/>
    </xf>
    <xf numFmtId="2" fontId="10" fillId="0" borderId="9" xfId="0" applyNumberFormat="1" applyFont="1" applyBorder="1" applyAlignment="1">
      <alignment horizontal="center"/>
    </xf>
    <xf numFmtId="0" fontId="10" fillId="0" borderId="5" xfId="0" applyFont="1" applyBorder="1"/>
    <xf numFmtId="0" fontId="10" fillId="0" borderId="6" xfId="0" applyFont="1" applyBorder="1"/>
    <xf numFmtId="0" fontId="10" fillId="0" borderId="7" xfId="0" applyFont="1" applyBorder="1"/>
    <xf numFmtId="0" fontId="10" fillId="0" borderId="9" xfId="0" applyFont="1" applyBorder="1" applyAlignment="1">
      <alignment horizontal="center"/>
    </xf>
    <xf numFmtId="0" fontId="10" fillId="0" borderId="10" xfId="0" applyFont="1" applyBorder="1"/>
    <xf numFmtId="0" fontId="17" fillId="0" borderId="5" xfId="0" applyFont="1" applyBorder="1"/>
    <xf numFmtId="0" fontId="17" fillId="0" borderId="6" xfId="0" applyFont="1" applyBorder="1"/>
    <xf numFmtId="166" fontId="17" fillId="0" borderId="6" xfId="0" applyNumberFormat="1" applyFont="1" applyBorder="1" applyAlignment="1">
      <alignment horizontal="center"/>
    </xf>
    <xf numFmtId="0" fontId="17" fillId="0" borderId="6" xfId="0" applyFont="1" applyBorder="1" applyAlignment="1">
      <alignment horizontal="center"/>
    </xf>
    <xf numFmtId="0" fontId="17" fillId="0" borderId="7" xfId="0" applyFont="1" applyBorder="1"/>
    <xf numFmtId="0" fontId="17" fillId="0" borderId="12" xfId="0" applyFont="1" applyBorder="1"/>
    <xf numFmtId="0" fontId="17" fillId="0" borderId="0" xfId="0" applyFont="1"/>
    <xf numFmtId="166" fontId="17" fillId="0" borderId="0" xfId="0" applyNumberFormat="1" applyFont="1" applyAlignment="1">
      <alignment horizontal="center"/>
    </xf>
    <xf numFmtId="0" fontId="17" fillId="0" borderId="0" xfId="0" applyFont="1" applyAlignment="1">
      <alignment horizontal="center"/>
    </xf>
    <xf numFmtId="0" fontId="17" fillId="0" borderId="13" xfId="0" applyFont="1" applyBorder="1"/>
    <xf numFmtId="0" fontId="17" fillId="0" borderId="8" xfId="0" applyFont="1" applyBorder="1"/>
    <xf numFmtId="0" fontId="17" fillId="0" borderId="9" xfId="0" applyFont="1" applyBorder="1"/>
    <xf numFmtId="166" fontId="17" fillId="0" borderId="9" xfId="0" applyNumberFormat="1" applyFont="1" applyBorder="1" applyAlignment="1">
      <alignment horizontal="center"/>
    </xf>
    <xf numFmtId="0" fontId="17" fillId="0" borderId="9" xfId="0" applyFont="1" applyBorder="1" applyAlignment="1">
      <alignment horizontal="center"/>
    </xf>
    <xf numFmtId="0" fontId="17" fillId="0" borderId="10" xfId="0" applyFont="1" applyBorder="1"/>
    <xf numFmtId="43" fontId="10" fillId="0" borderId="0" xfId="1" applyFont="1" applyAlignment="1" applyProtection="1">
      <alignment horizontal="left"/>
    </xf>
    <xf numFmtId="167" fontId="10" fillId="0" borderId="0" xfId="0" applyNumberFormat="1" applyFont="1" applyAlignment="1">
      <alignment horizontal="left"/>
    </xf>
    <xf numFmtId="168" fontId="10" fillId="0" borderId="0" xfId="0" applyNumberFormat="1" applyFont="1" applyAlignment="1">
      <alignment horizontal="left"/>
    </xf>
    <xf numFmtId="0" fontId="0" fillId="0" borderId="1" xfId="0" applyBorder="1" applyAlignment="1">
      <alignment horizontal="left"/>
    </xf>
    <xf numFmtId="0" fontId="14" fillId="0" borderId="0" xfId="0" applyFont="1" applyAlignment="1">
      <alignment horizontal="center"/>
    </xf>
    <xf numFmtId="0" fontId="14" fillId="0" borderId="0" xfId="0" applyFont="1" applyAlignment="1">
      <alignment horizontal="center"/>
    </xf>
    <xf numFmtId="0" fontId="1" fillId="2" borderId="3" xfId="0" applyFont="1" applyFill="1" applyBorder="1" applyAlignment="1">
      <alignment horizontal="center"/>
    </xf>
    <xf numFmtId="0" fontId="1" fillId="0" borderId="0" xfId="0" applyFont="1" applyBorder="1" applyAlignment="1"/>
    <xf numFmtId="0" fontId="0" fillId="2" borderId="0" xfId="0" applyFill="1" applyBorder="1" applyAlignment="1">
      <alignment horizontal="center"/>
    </xf>
    <xf numFmtId="0" fontId="1" fillId="2" borderId="0" xfId="0" applyFont="1" applyFill="1" applyBorder="1" applyAlignment="1">
      <alignment horizontal="center"/>
    </xf>
    <xf numFmtId="0" fontId="0" fillId="2" borderId="0" xfId="0" applyFill="1"/>
    <xf numFmtId="1" fontId="0" fillId="5" borderId="1" xfId="0" applyNumberFormat="1" applyFill="1" applyBorder="1" applyAlignment="1">
      <alignment horizontal="center"/>
    </xf>
    <xf numFmtId="0" fontId="0" fillId="2" borderId="14" xfId="0" applyFill="1" applyBorder="1" applyAlignment="1">
      <alignment horizontal="center"/>
    </xf>
    <xf numFmtId="0" fontId="0" fillId="10" borderId="1" xfId="0" applyFill="1" applyBorder="1" applyAlignment="1">
      <alignment horizontal="center"/>
    </xf>
    <xf numFmtId="0" fontId="0" fillId="2" borderId="0" xfId="0" applyFill="1" applyAlignment="1">
      <alignment horizontal="center"/>
    </xf>
    <xf numFmtId="0" fontId="5" fillId="7" borderId="0" xfId="0" applyFont="1" applyFill="1" applyAlignment="1">
      <alignment horizontal="right"/>
    </xf>
    <xf numFmtId="0" fontId="1" fillId="2" borderId="1" xfId="0" applyFont="1" applyFill="1" applyBorder="1"/>
    <xf numFmtId="0" fontId="6" fillId="12" borderId="0" xfId="0" applyFont="1" applyFill="1" applyAlignment="1"/>
    <xf numFmtId="0" fontId="25" fillId="12" borderId="0" xfId="0" applyFont="1" applyFill="1"/>
    <xf numFmtId="0" fontId="26" fillId="12" borderId="0" xfId="0" applyFont="1" applyFill="1"/>
    <xf numFmtId="0" fontId="25" fillId="12" borderId="0" xfId="0" applyFont="1" applyFill="1" applyAlignment="1">
      <alignment horizontal="right"/>
    </xf>
    <xf numFmtId="0" fontId="5" fillId="12" borderId="0" xfId="0" applyFont="1" applyFill="1"/>
    <xf numFmtId="0" fontId="5" fillId="12" borderId="0" xfId="0" applyFont="1" applyFill="1" applyAlignment="1">
      <alignment horizontal="right"/>
    </xf>
    <xf numFmtId="0" fontId="28" fillId="7" borderId="0" xfId="0" applyFont="1" applyFill="1"/>
    <xf numFmtId="0" fontId="4" fillId="12" borderId="0" xfId="0" applyFont="1" applyFill="1" applyAlignment="1">
      <alignment horizontal="right"/>
    </xf>
    <xf numFmtId="0" fontId="6" fillId="11" borderId="0" xfId="0" applyFont="1" applyFill="1" applyAlignment="1"/>
    <xf numFmtId="0" fontId="0" fillId="0" borderId="0" xfId="0" applyAlignment="1">
      <alignment horizontal="center"/>
    </xf>
    <xf numFmtId="0" fontId="0" fillId="2" borderId="12" xfId="0" applyFill="1" applyBorder="1" applyAlignment="1">
      <alignment horizontal="center"/>
    </xf>
    <xf numFmtId="0" fontId="6" fillId="3" borderId="0" xfId="0" applyFont="1" applyFill="1" applyAlignment="1"/>
    <xf numFmtId="0" fontId="4" fillId="3" borderId="0" xfId="0" applyFont="1" applyFill="1" applyAlignment="1"/>
    <xf numFmtId="0" fontId="4" fillId="3" borderId="0" xfId="0" applyFont="1" applyFill="1" applyAlignment="1">
      <alignment horizontal="center"/>
    </xf>
    <xf numFmtId="0" fontId="5" fillId="3" borderId="0" xfId="0" applyFont="1" applyFill="1" applyAlignment="1">
      <alignment horizontal="right"/>
    </xf>
    <xf numFmtId="0" fontId="5" fillId="3" borderId="0" xfId="0" applyFont="1" applyFill="1" applyAlignment="1"/>
    <xf numFmtId="0" fontId="25" fillId="3" borderId="0" xfId="0" applyFont="1" applyFill="1" applyAlignment="1">
      <alignment horizontal="center"/>
    </xf>
    <xf numFmtId="0" fontId="0" fillId="3" borderId="0" xfId="0" applyFill="1"/>
    <xf numFmtId="0" fontId="5" fillId="3" borderId="0" xfId="0" applyFont="1" applyFill="1" applyAlignment="1">
      <alignment horizontal="left"/>
    </xf>
    <xf numFmtId="0" fontId="5" fillId="12" borderId="0" xfId="0" applyFont="1" applyFill="1" applyAlignment="1">
      <alignment horizontal="left"/>
    </xf>
    <xf numFmtId="0" fontId="0" fillId="0" borderId="0" xfId="0" applyAlignment="1">
      <alignment horizontal="center"/>
    </xf>
    <xf numFmtId="0" fontId="0" fillId="0" borderId="0" xfId="0" applyAlignment="1">
      <alignment horizontal="center"/>
    </xf>
    <xf numFmtId="164" fontId="0" fillId="0" borderId="0" xfId="0" applyNumberFormat="1"/>
    <xf numFmtId="0" fontId="0" fillId="13" borderId="1" xfId="0" applyFill="1" applyBorder="1"/>
    <xf numFmtId="164" fontId="0" fillId="12" borderId="1" xfId="0" applyNumberFormat="1" applyFill="1" applyBorder="1"/>
    <xf numFmtId="0" fontId="4" fillId="7" borderId="1" xfId="0" applyFont="1" applyFill="1" applyBorder="1" applyAlignment="1" applyProtection="1">
      <protection locked="0"/>
    </xf>
    <xf numFmtId="164" fontId="4" fillId="7" borderId="1" xfId="0" applyNumberFormat="1" applyFont="1" applyFill="1" applyBorder="1" applyAlignment="1" applyProtection="1">
      <alignment horizontal="left"/>
      <protection locked="0"/>
    </xf>
    <xf numFmtId="0" fontId="4" fillId="7" borderId="1" xfId="0" applyFont="1" applyFill="1" applyBorder="1" applyAlignment="1" applyProtection="1">
      <alignment horizontal="left"/>
      <protection locked="0"/>
    </xf>
    <xf numFmtId="165" fontId="4" fillId="7" borderId="1" xfId="0" applyNumberFormat="1" applyFont="1" applyFill="1" applyBorder="1" applyAlignment="1" applyProtection="1">
      <alignment horizontal="left"/>
      <protection locked="0"/>
    </xf>
    <xf numFmtId="0" fontId="30" fillId="0" borderId="14" xfId="0" applyFont="1" applyFill="1" applyBorder="1"/>
    <xf numFmtId="0" fontId="31" fillId="7" borderId="0" xfId="0" applyFont="1" applyFill="1" applyAlignment="1"/>
    <xf numFmtId="0" fontId="4" fillId="2" borderId="0" xfId="0" applyFont="1" applyFill="1" applyAlignment="1"/>
    <xf numFmtId="0" fontId="6" fillId="2" borderId="0" xfId="0" applyFont="1" applyFill="1" applyAlignment="1"/>
    <xf numFmtId="0" fontId="6" fillId="9" borderId="0" xfId="0" applyFont="1" applyFill="1" applyAlignment="1"/>
    <xf numFmtId="0" fontId="6" fillId="11" borderId="0" xfId="0" applyFont="1" applyFill="1" applyAlignment="1"/>
    <xf numFmtId="0" fontId="25" fillId="12" borderId="0" xfId="0" applyFont="1" applyFill="1" applyAlignment="1">
      <alignment horizontal="right"/>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0" xfId="0" applyFont="1" applyFill="1" applyBorder="1" applyAlignment="1">
      <alignment horizontal="center"/>
    </xf>
    <xf numFmtId="0" fontId="0" fillId="2" borderId="0" xfId="0" applyFill="1" applyBorder="1" applyAlignment="1">
      <alignment horizontal="center"/>
    </xf>
    <xf numFmtId="3" fontId="4" fillId="7" borderId="1" xfId="0" applyNumberFormat="1" applyFont="1" applyFill="1" applyBorder="1" applyAlignment="1" applyProtection="1">
      <alignment horizontal="left"/>
      <protection locked="0"/>
    </xf>
    <xf numFmtId="0" fontId="34" fillId="3" borderId="0" xfId="0" applyFont="1" applyFill="1" applyAlignment="1"/>
    <xf numFmtId="0" fontId="33" fillId="0" borderId="0" xfId="2"/>
    <xf numFmtId="0" fontId="6" fillId="11" borderId="0" xfId="0" applyFont="1" applyFill="1" applyAlignment="1"/>
    <xf numFmtId="0" fontId="4" fillId="7" borderId="1" xfId="0" applyFont="1" applyFill="1" applyBorder="1" applyAlignment="1" applyProtection="1"/>
    <xf numFmtId="0" fontId="4" fillId="7" borderId="0" xfId="0" applyFont="1" applyFill="1" applyBorder="1" applyAlignment="1" applyProtection="1">
      <alignment horizontal="left"/>
      <protection locked="0"/>
    </xf>
    <xf numFmtId="164" fontId="0" fillId="0" borderId="1" xfId="0" applyNumberFormat="1" applyBorder="1" applyAlignment="1">
      <alignment horizontal="left"/>
    </xf>
    <xf numFmtId="0" fontId="0" fillId="6" borderId="0" xfId="0" applyFill="1" applyBorder="1" applyAlignment="1">
      <alignment horizontal="center"/>
    </xf>
    <xf numFmtId="0" fontId="0" fillId="5" borderId="0" xfId="0" applyFill="1" applyBorder="1" applyAlignment="1">
      <alignment horizontal="center"/>
    </xf>
    <xf numFmtId="0" fontId="0" fillId="2" borderId="2" xfId="0" applyFill="1" applyBorder="1" applyAlignment="1">
      <alignment horizontal="center"/>
    </xf>
    <xf numFmtId="0" fontId="1" fillId="2" borderId="1" xfId="0" applyFont="1" applyFill="1" applyBorder="1" applyAlignment="1">
      <alignment horizontal="center"/>
    </xf>
    <xf numFmtId="0" fontId="0" fillId="2" borderId="11" xfId="0" applyFill="1" applyBorder="1" applyAlignment="1">
      <alignment horizontal="center"/>
    </xf>
    <xf numFmtId="0" fontId="4" fillId="12" borderId="0" xfId="0" applyFont="1" applyFill="1"/>
    <xf numFmtId="0" fontId="4" fillId="14" borderId="0" xfId="0" applyFont="1" applyFill="1" applyAlignment="1">
      <alignment horizontal="left"/>
    </xf>
    <xf numFmtId="0" fontId="5" fillId="14" borderId="0" xfId="0" applyFont="1" applyFill="1"/>
    <xf numFmtId="0" fontId="5" fillId="14" borderId="0" xfId="0" applyFont="1" applyFill="1" applyAlignment="1">
      <alignment horizontal="right"/>
    </xf>
    <xf numFmtId="0" fontId="4" fillId="14" borderId="0" xfId="0" applyFont="1" applyFill="1" applyAlignment="1">
      <alignment horizontal="right"/>
    </xf>
    <xf numFmtId="0" fontId="34" fillId="14" borderId="0" xfId="0" applyFont="1" applyFill="1"/>
    <xf numFmtId="1" fontId="4" fillId="14" borderId="0" xfId="0" applyNumberFormat="1" applyFont="1" applyFill="1" applyAlignment="1">
      <alignment horizontal="right"/>
    </xf>
    <xf numFmtId="0" fontId="4" fillId="14" borderId="0" xfId="0" applyFont="1" applyFill="1"/>
    <xf numFmtId="0" fontId="0" fillId="14" borderId="0" xfId="0" applyFill="1"/>
    <xf numFmtId="0" fontId="4" fillId="15" borderId="15" xfId="0" applyFont="1" applyFill="1" applyBorder="1" applyAlignment="1">
      <alignment horizontal="left" vertical="center"/>
    </xf>
    <xf numFmtId="0" fontId="0" fillId="15" borderId="16" xfId="0" applyFill="1" applyBorder="1" applyAlignment="1">
      <alignment horizontal="center"/>
    </xf>
    <xf numFmtId="0" fontId="0" fillId="15" borderId="1" xfId="0" applyFill="1" applyBorder="1" applyAlignment="1">
      <alignment horizontal="center"/>
    </xf>
    <xf numFmtId="0" fontId="0" fillId="16" borderId="16" xfId="0" applyFill="1" applyBorder="1" applyAlignment="1">
      <alignment horizontal="center"/>
    </xf>
    <xf numFmtId="164" fontId="0" fillId="0" borderId="1" xfId="0" applyNumberFormat="1" applyFont="1" applyBorder="1" applyAlignment="1">
      <alignment horizontal="center"/>
    </xf>
    <xf numFmtId="0" fontId="0" fillId="17" borderId="0" xfId="0" applyFill="1"/>
    <xf numFmtId="0" fontId="0" fillId="8" borderId="0" xfId="0" quotePrefix="1" applyFill="1"/>
    <xf numFmtId="0" fontId="0" fillId="0" borderId="0" xfId="0" applyAlignment="1">
      <alignment vertical="top"/>
    </xf>
    <xf numFmtId="0" fontId="34" fillId="12" borderId="0" xfId="0" applyFont="1" applyFill="1" applyAlignment="1">
      <alignment horizontal="left"/>
    </xf>
    <xf numFmtId="0" fontId="5" fillId="3" borderId="0" xfId="0" applyFont="1" applyFill="1"/>
    <xf numFmtId="0" fontId="37" fillId="3" borderId="0" xfId="0" applyFont="1" applyFill="1" applyAlignment="1">
      <alignment horizontal="left"/>
    </xf>
    <xf numFmtId="0" fontId="38" fillId="7" borderId="0" xfId="2" applyFont="1" applyFill="1" applyAlignment="1">
      <alignment horizontal="center"/>
    </xf>
    <xf numFmtId="0" fontId="40" fillId="7" borderId="0" xfId="0" applyFont="1" applyFill="1"/>
    <xf numFmtId="0" fontId="0" fillId="11" borderId="0" xfId="0" applyFill="1"/>
    <xf numFmtId="0" fontId="42" fillId="18" borderId="17" xfId="0" applyFont="1" applyFill="1" applyBorder="1" applyAlignment="1">
      <alignment horizontal="justify" vertical="center"/>
    </xf>
    <xf numFmtId="0" fontId="43" fillId="15" borderId="15" xfId="0" applyFont="1" applyFill="1" applyBorder="1" applyAlignment="1">
      <alignment horizontal="center" vertical="center"/>
    </xf>
    <xf numFmtId="0" fontId="0" fillId="15" borderId="18" xfId="0" applyFill="1" applyBorder="1" applyAlignment="1">
      <alignment horizontal="center"/>
    </xf>
    <xf numFmtId="0" fontId="43" fillId="16" borderId="15" xfId="0" applyFont="1" applyFill="1" applyBorder="1" applyAlignment="1">
      <alignment horizontal="center" vertical="center"/>
    </xf>
    <xf numFmtId="0" fontId="0" fillId="16" borderId="18" xfId="0" applyFill="1" applyBorder="1" applyAlignment="1">
      <alignment horizontal="center"/>
    </xf>
    <xf numFmtId="0" fontId="41" fillId="18" borderId="16" xfId="0" applyFont="1" applyFill="1" applyBorder="1" applyAlignment="1">
      <alignment horizontal="center" vertical="justify"/>
    </xf>
    <xf numFmtId="0" fontId="45" fillId="3" borderId="0" xfId="0" applyFont="1" applyFill="1" applyAlignment="1"/>
    <xf numFmtId="0" fontId="46" fillId="3" borderId="0" xfId="0" applyFont="1" applyFill="1" applyAlignment="1">
      <alignment horizontal="right"/>
    </xf>
    <xf numFmtId="0" fontId="45" fillId="12" borderId="0" xfId="0" applyFont="1" applyFill="1" applyAlignment="1">
      <alignment horizontal="left"/>
    </xf>
    <xf numFmtId="0" fontId="48" fillId="7" borderId="0" xfId="0" applyFont="1" applyFill="1" applyAlignment="1"/>
    <xf numFmtId="0" fontId="14" fillId="0" borderId="0" xfId="0" applyFont="1" applyAlignment="1">
      <alignment horizontal="center"/>
    </xf>
    <xf numFmtId="0" fontId="6" fillId="9" borderId="0" xfId="0" applyFont="1" applyFill="1" applyAlignment="1"/>
    <xf numFmtId="0" fontId="6" fillId="11" borderId="0" xfId="0" applyFont="1" applyFill="1" applyAlignment="1"/>
    <xf numFmtId="0" fontId="5" fillId="7" borderId="2" xfId="0" applyFont="1" applyFill="1" applyBorder="1" applyAlignment="1" applyProtection="1">
      <protection locked="0"/>
    </xf>
    <xf numFmtId="0" fontId="0" fillId="0" borderId="3" xfId="0" applyFont="1" applyBorder="1" applyAlignment="1" applyProtection="1">
      <protection locked="0"/>
    </xf>
    <xf numFmtId="0" fontId="0" fillId="0" borderId="4" xfId="0" applyFont="1" applyBorder="1" applyAlignment="1" applyProtection="1">
      <protection locked="0"/>
    </xf>
    <xf numFmtId="0" fontId="25" fillId="3" borderId="0" xfId="0" applyFont="1" applyFill="1" applyAlignment="1">
      <alignment horizontal="right"/>
    </xf>
    <xf numFmtId="0" fontId="0" fillId="0" borderId="0" xfId="0" applyAlignment="1"/>
    <xf numFmtId="0" fontId="6" fillId="7" borderId="2" xfId="0" applyFont="1" applyFill="1" applyBorder="1" applyAlignment="1" applyProtection="1">
      <protection locked="0"/>
    </xf>
    <xf numFmtId="0" fontId="0" fillId="0" borderId="3" xfId="0" applyBorder="1" applyAlignment="1" applyProtection="1">
      <protection locked="0"/>
    </xf>
    <xf numFmtId="0" fontId="0" fillId="0" borderId="4" xfId="0" applyBorder="1" applyAlignment="1" applyProtection="1">
      <protection locked="0"/>
    </xf>
    <xf numFmtId="0" fontId="25" fillId="3" borderId="0" xfId="0" applyFont="1" applyFill="1" applyAlignment="1">
      <alignment horizontal="left"/>
    </xf>
    <xf numFmtId="0" fontId="0" fillId="0" borderId="0" xfId="0" applyAlignment="1">
      <alignment horizontal="left"/>
    </xf>
    <xf numFmtId="0" fontId="0" fillId="8" borderId="0" xfId="0" applyFill="1" applyAlignment="1">
      <alignment horizontal="justify" vertical="top"/>
    </xf>
    <xf numFmtId="0" fontId="0" fillId="0" borderId="0" xfId="0" applyAlignment="1">
      <alignment horizontal="justify" vertical="top"/>
    </xf>
    <xf numFmtId="0" fontId="5" fillId="14" borderId="0" xfId="0" applyFont="1" applyFill="1" applyAlignment="1">
      <alignment horizontal="right"/>
    </xf>
    <xf numFmtId="0" fontId="0" fillId="0" borderId="0" xfId="0" applyFont="1" applyAlignment="1"/>
    <xf numFmtId="0" fontId="23" fillId="2" borderId="0" xfId="0" applyFont="1" applyFill="1" applyAlignment="1">
      <alignment horizontal="center" vertical="center"/>
    </xf>
    <xf numFmtId="0" fontId="24" fillId="2" borderId="0" xfId="0" applyFont="1" applyFill="1" applyAlignment="1">
      <alignment horizontal="center" vertical="center"/>
    </xf>
    <xf numFmtId="0" fontId="24" fillId="2" borderId="9" xfId="0" applyFont="1" applyFill="1" applyBorder="1" applyAlignment="1">
      <alignment horizontal="center" vertical="center"/>
    </xf>
    <xf numFmtId="0" fontId="10" fillId="2" borderId="2" xfId="0" applyFont="1"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10" fillId="12" borderId="2" xfId="0"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0" xfId="0" applyFont="1" applyFill="1" applyBorder="1" applyAlignment="1">
      <alignment horizontal="center"/>
    </xf>
    <xf numFmtId="0" fontId="0" fillId="0" borderId="0" xfId="0" applyAlignment="1">
      <alignment horizontal="center"/>
    </xf>
    <xf numFmtId="0" fontId="0" fillId="2" borderId="12" xfId="0" applyFill="1" applyBorder="1" applyAlignment="1">
      <alignment horizontal="center"/>
    </xf>
    <xf numFmtId="0" fontId="0" fillId="2" borderId="0" xfId="0" applyFill="1" applyBorder="1" applyAlignment="1">
      <alignment horizontal="center"/>
    </xf>
    <xf numFmtId="0" fontId="0" fillId="0" borderId="0" xfId="0"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8" borderId="0" xfId="0" applyFill="1" applyAlignment="1">
      <alignment vertical="top" wrapText="1"/>
    </xf>
    <xf numFmtId="0" fontId="0" fillId="0" borderId="0" xfId="0" applyAlignment="1">
      <alignment vertical="top"/>
    </xf>
    <xf numFmtId="0" fontId="1" fillId="2" borderId="8" xfId="0" applyFont="1" applyFill="1" applyBorder="1" applyAlignment="1">
      <alignment horizontal="center"/>
    </xf>
    <xf numFmtId="0" fontId="1" fillId="2" borderId="9" xfId="0" applyFont="1" applyFill="1" applyBorder="1" applyAlignment="1">
      <alignment horizontal="center"/>
    </xf>
  </cellXfs>
  <cellStyles count="3">
    <cellStyle name="Hyperlink" xfId="2" builtinId="8"/>
    <cellStyle name="Komma" xfId="1" builtinId="3"/>
    <cellStyle name="Standaard" xfId="0" builtinId="0"/>
  </cellStyles>
  <dxfs count="36">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color rgb="FFFF0000"/>
      </font>
    </dxf>
    <dxf>
      <font>
        <color rgb="FFFF0000"/>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lor theme="9" tint="0.39994506668294322"/>
      </font>
    </dxf>
    <dxf>
      <font>
        <color theme="0"/>
      </font>
    </dxf>
    <dxf>
      <font>
        <color theme="9" tint="0.39994506668294322"/>
      </font>
    </dxf>
    <dxf>
      <font>
        <color theme="0"/>
      </font>
    </dxf>
    <dxf>
      <font>
        <color theme="0"/>
      </font>
    </dxf>
    <dxf>
      <font>
        <color theme="0"/>
      </font>
    </dxf>
    <dxf>
      <font>
        <color theme="0"/>
      </font>
    </dxf>
    <dxf>
      <font>
        <color theme="9" tint="0.59996337778862885"/>
      </font>
    </dxf>
    <dxf>
      <font>
        <color theme="0"/>
      </font>
    </dxf>
    <dxf>
      <font>
        <color theme="9" tint="0.59996337778862885"/>
      </font>
    </dxf>
    <dxf>
      <font>
        <color theme="0"/>
      </font>
    </dxf>
    <dxf>
      <font>
        <color theme="0"/>
      </font>
    </dxf>
    <dxf>
      <font>
        <color theme="0"/>
      </font>
    </dxf>
    <dxf>
      <font>
        <color theme="0"/>
      </font>
    </dxf>
    <dxf>
      <font>
        <color rgb="FFFF0000"/>
      </font>
    </dxf>
    <dxf>
      <font>
        <color rgb="FFFF0000"/>
      </font>
    </dxf>
    <dxf>
      <font>
        <condense val="0"/>
        <extend val="0"/>
        <color indexed="9"/>
      </font>
    </dxf>
    <dxf>
      <font>
        <condense val="0"/>
        <extend val="0"/>
        <color indexed="9"/>
      </font>
    </dxf>
  </dxfs>
  <tableStyles count="0" defaultTableStyle="TableStyleMedium2" defaultPivotStyle="PivotStyleLight16"/>
  <colors>
    <mruColors>
      <color rgb="FFCCFFCC"/>
      <color rgb="FFFFFFCC"/>
      <color rgb="FFFFCC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5.jpeg"/><Relationship Id="rId2" Type="http://schemas.openxmlformats.org/officeDocument/2006/relationships/hyperlink" Target="#SlimFix!A1"/><Relationship Id="rId1" Type="http://schemas.openxmlformats.org/officeDocument/2006/relationships/image" Target="../media/image2.png"/><Relationship Id="rId6" Type="http://schemas.openxmlformats.org/officeDocument/2006/relationships/hyperlink" Target="#'SlimFix Reno+'!A1"/><Relationship Id="rId5" Type="http://schemas.openxmlformats.org/officeDocument/2006/relationships/image" Target="../media/image4.jpeg"/><Relationship Id="rId4" Type="http://schemas.openxmlformats.org/officeDocument/2006/relationships/hyperlink" Target="#'SlimFix RenoTwin'!A1"/></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2.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2.png"/><Relationship Id="rId1" Type="http://schemas.openxmlformats.org/officeDocument/2006/relationships/image" Target="../media/image8.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9.jpeg"/><Relationship Id="rId4"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8</xdr:col>
      <xdr:colOff>60960</xdr:colOff>
      <xdr:row>0</xdr:row>
      <xdr:rowOff>38100</xdr:rowOff>
    </xdr:from>
    <xdr:to>
      <xdr:col>9</xdr:col>
      <xdr:colOff>563880</xdr:colOff>
      <xdr:row>2</xdr:row>
      <xdr:rowOff>7620</xdr:rowOff>
    </xdr:to>
    <xdr:pic>
      <xdr:nvPicPr>
        <xdr:cNvPr id="2" name="Afbeelding 1">
          <a:extLst>
            <a:ext uri="{FF2B5EF4-FFF2-40B4-BE49-F238E27FC236}">
              <a16:creationId xmlns:a16="http://schemas.microsoft.com/office/drawing/2014/main" id="{7D249A3F-08EF-4905-BB6D-6B4F72CC4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360" y="38100"/>
          <a:ext cx="1093470"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190498</xdr:colOff>
      <xdr:row>12</xdr:row>
      <xdr:rowOff>27878</xdr:rowOff>
    </xdr:from>
    <xdr:to>
      <xdr:col>4</xdr:col>
      <xdr:colOff>487865</xdr:colOff>
      <xdr:row>13</xdr:row>
      <xdr:rowOff>30773</xdr:rowOff>
    </xdr:to>
    <xdr:sp macro="" textlink="">
      <xdr:nvSpPr>
        <xdr:cNvPr id="3" name="Line 9">
          <a:extLst>
            <a:ext uri="{FF2B5EF4-FFF2-40B4-BE49-F238E27FC236}">
              <a16:creationId xmlns:a16="http://schemas.microsoft.com/office/drawing/2014/main" id="{46D17B14-867D-4C52-9718-364DBB04C070}"/>
            </a:ext>
          </a:extLst>
        </xdr:cNvPr>
        <xdr:cNvSpPr>
          <a:spLocks noChangeShapeType="1"/>
        </xdr:cNvSpPr>
      </xdr:nvSpPr>
      <xdr:spPr bwMode="auto">
        <a:xfrm flipH="1">
          <a:off x="2552698" y="2037653"/>
          <a:ext cx="297367" cy="1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29308</xdr:colOff>
      <xdr:row>12</xdr:row>
      <xdr:rowOff>73269</xdr:rowOff>
    </xdr:from>
    <xdr:to>
      <xdr:col>4</xdr:col>
      <xdr:colOff>527539</xdr:colOff>
      <xdr:row>14</xdr:row>
      <xdr:rowOff>7327</xdr:rowOff>
    </xdr:to>
    <xdr:cxnSp macro="">
      <xdr:nvCxnSpPr>
        <xdr:cNvPr id="4" name="Rechte verbindingslijn 3">
          <a:extLst>
            <a:ext uri="{FF2B5EF4-FFF2-40B4-BE49-F238E27FC236}">
              <a16:creationId xmlns:a16="http://schemas.microsoft.com/office/drawing/2014/main" id="{38919F28-19CB-40A3-BAB2-B0E7B63EDE86}"/>
            </a:ext>
          </a:extLst>
        </xdr:cNvPr>
        <xdr:cNvCxnSpPr/>
      </xdr:nvCxnSpPr>
      <xdr:spPr bwMode="auto">
        <a:xfrm flipV="1">
          <a:off x="2391508" y="2083044"/>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58616</xdr:colOff>
      <xdr:row>12</xdr:row>
      <xdr:rowOff>117230</xdr:rowOff>
    </xdr:from>
    <xdr:to>
      <xdr:col>4</xdr:col>
      <xdr:colOff>556847</xdr:colOff>
      <xdr:row>14</xdr:row>
      <xdr:rowOff>51288</xdr:rowOff>
    </xdr:to>
    <xdr:cxnSp macro="">
      <xdr:nvCxnSpPr>
        <xdr:cNvPr id="5" name="Rechte verbindingslijn 4">
          <a:extLst>
            <a:ext uri="{FF2B5EF4-FFF2-40B4-BE49-F238E27FC236}">
              <a16:creationId xmlns:a16="http://schemas.microsoft.com/office/drawing/2014/main" id="{0D3FE35A-0907-434D-8D26-8FFA41743868}"/>
            </a:ext>
          </a:extLst>
        </xdr:cNvPr>
        <xdr:cNvCxnSpPr/>
      </xdr:nvCxnSpPr>
      <xdr:spPr bwMode="auto">
        <a:xfrm flipV="1">
          <a:off x="2420816" y="2127005"/>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320595</xdr:colOff>
      <xdr:row>11</xdr:row>
      <xdr:rowOff>60403</xdr:rowOff>
    </xdr:from>
    <xdr:to>
      <xdr:col>2</xdr:col>
      <xdr:colOff>320595</xdr:colOff>
      <xdr:row>12</xdr:row>
      <xdr:rowOff>148682</xdr:rowOff>
    </xdr:to>
    <xdr:sp macro="" textlink="">
      <xdr:nvSpPr>
        <xdr:cNvPr id="6" name="Line 9">
          <a:extLst>
            <a:ext uri="{FF2B5EF4-FFF2-40B4-BE49-F238E27FC236}">
              <a16:creationId xmlns:a16="http://schemas.microsoft.com/office/drawing/2014/main" id="{0FC56E75-2865-4785-BF7B-4587231E7678}"/>
            </a:ext>
          </a:extLst>
        </xdr:cNvPr>
        <xdr:cNvSpPr>
          <a:spLocks noChangeShapeType="1"/>
        </xdr:cNvSpPr>
      </xdr:nvSpPr>
      <xdr:spPr bwMode="auto">
        <a:xfrm flipH="1">
          <a:off x="1501695" y="1908253"/>
          <a:ext cx="0" cy="2502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2</xdr:col>
      <xdr:colOff>61832</xdr:colOff>
      <xdr:row>11</xdr:row>
      <xdr:rowOff>12866</xdr:rowOff>
    </xdr:from>
    <xdr:to>
      <xdr:col>2</xdr:col>
      <xdr:colOff>560063</xdr:colOff>
      <xdr:row>12</xdr:row>
      <xdr:rowOff>128132</xdr:rowOff>
    </xdr:to>
    <xdr:cxnSp macro="">
      <xdr:nvCxnSpPr>
        <xdr:cNvPr id="7" name="Rechte verbindingslijn 6">
          <a:extLst>
            <a:ext uri="{FF2B5EF4-FFF2-40B4-BE49-F238E27FC236}">
              <a16:creationId xmlns:a16="http://schemas.microsoft.com/office/drawing/2014/main" id="{1A198C39-4B9D-4550-B86E-4829A5C9AE6D}"/>
            </a:ext>
          </a:extLst>
        </xdr:cNvPr>
        <xdr:cNvCxnSpPr/>
      </xdr:nvCxnSpPr>
      <xdr:spPr bwMode="auto">
        <a:xfrm flipV="1">
          <a:off x="1242932" y="1860716"/>
          <a:ext cx="498231" cy="27719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91140</xdr:colOff>
      <xdr:row>11</xdr:row>
      <xdr:rowOff>56827</xdr:rowOff>
    </xdr:from>
    <xdr:to>
      <xdr:col>2</xdr:col>
      <xdr:colOff>589371</xdr:colOff>
      <xdr:row>13</xdr:row>
      <xdr:rowOff>9471</xdr:rowOff>
    </xdr:to>
    <xdr:cxnSp macro="">
      <xdr:nvCxnSpPr>
        <xdr:cNvPr id="8" name="Rechte verbindingslijn 7">
          <a:extLst>
            <a:ext uri="{FF2B5EF4-FFF2-40B4-BE49-F238E27FC236}">
              <a16:creationId xmlns:a16="http://schemas.microsoft.com/office/drawing/2014/main" id="{2209BF7D-D3F8-4A20-8C3B-346508269047}"/>
            </a:ext>
          </a:extLst>
        </xdr:cNvPr>
        <xdr:cNvCxnSpPr/>
      </xdr:nvCxnSpPr>
      <xdr:spPr bwMode="auto">
        <a:xfrm flipV="1">
          <a:off x="1272240" y="1904677"/>
          <a:ext cx="498231" cy="27649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475892</xdr:colOff>
      <xdr:row>1</xdr:row>
      <xdr:rowOff>85726</xdr:rowOff>
    </xdr:from>
    <xdr:to>
      <xdr:col>11</xdr:col>
      <xdr:colOff>542925</xdr:colOff>
      <xdr:row>5</xdr:row>
      <xdr:rowOff>51545</xdr:rowOff>
    </xdr:to>
    <xdr:pic>
      <xdr:nvPicPr>
        <xdr:cNvPr id="2" name="Afbeelding 1">
          <a:extLst>
            <a:ext uri="{FF2B5EF4-FFF2-40B4-BE49-F238E27FC236}">
              <a16:creationId xmlns:a16="http://schemas.microsoft.com/office/drawing/2014/main" id="{D9243337-F1E9-4561-AE76-19DDBF787806}"/>
            </a:ext>
          </a:extLst>
        </xdr:cNvPr>
        <xdr:cNvPicPr>
          <a:picLocks noChangeAspect="1"/>
        </xdr:cNvPicPr>
      </xdr:nvPicPr>
      <xdr:blipFill>
        <a:blip xmlns:r="http://schemas.openxmlformats.org/officeDocument/2006/relationships" r:embed="rId1"/>
        <a:stretch>
          <a:fillRect/>
        </a:stretch>
      </xdr:blipFill>
      <xdr:spPr>
        <a:xfrm>
          <a:off x="5371742" y="276226"/>
          <a:ext cx="1895833" cy="889744"/>
        </a:xfrm>
        <a:prstGeom prst="rect">
          <a:avLst/>
        </a:prstGeom>
      </xdr:spPr>
    </xdr:pic>
    <xdr:clientData/>
  </xdr:twoCellAnchor>
  <xdr:twoCellAnchor>
    <xdr:from>
      <xdr:col>1</xdr:col>
      <xdr:colOff>536575</xdr:colOff>
      <xdr:row>12</xdr:row>
      <xdr:rowOff>85725</xdr:rowOff>
    </xdr:from>
    <xdr:to>
      <xdr:col>5</xdr:col>
      <xdr:colOff>28575</xdr:colOff>
      <xdr:row>20</xdr:row>
      <xdr:rowOff>133350</xdr:rowOff>
    </xdr:to>
    <xdr:pic>
      <xdr:nvPicPr>
        <xdr:cNvPr id="9" name="Afbeelding 8">
          <a:hlinkClick xmlns:r="http://schemas.openxmlformats.org/officeDocument/2006/relationships" r:id="rId2"/>
          <a:extLst>
            <a:ext uri="{FF2B5EF4-FFF2-40B4-BE49-F238E27FC236}">
              <a16:creationId xmlns:a16="http://schemas.microsoft.com/office/drawing/2014/main" id="{8E7E30DA-4D3E-4DD0-B49A-2E9CA39745D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1882"/>
        <a:stretch/>
      </xdr:blipFill>
      <xdr:spPr>
        <a:xfrm>
          <a:off x="717550" y="2790825"/>
          <a:ext cx="2378075" cy="1571625"/>
        </a:xfrm>
        <a:prstGeom prst="rect">
          <a:avLst/>
        </a:prstGeom>
      </xdr:spPr>
    </xdr:pic>
    <xdr:clientData/>
  </xdr:twoCellAnchor>
  <xdr:twoCellAnchor>
    <xdr:from>
      <xdr:col>1</xdr:col>
      <xdr:colOff>447675</xdr:colOff>
      <xdr:row>9</xdr:row>
      <xdr:rowOff>76199</xdr:rowOff>
    </xdr:from>
    <xdr:to>
      <xdr:col>5</xdr:col>
      <xdr:colOff>85725</xdr:colOff>
      <xdr:row>12</xdr:row>
      <xdr:rowOff>38099</xdr:rowOff>
    </xdr:to>
    <xdr:sp macro="" textlink="">
      <xdr:nvSpPr>
        <xdr:cNvPr id="11" name="Tekstvak 10">
          <a:extLst>
            <a:ext uri="{FF2B5EF4-FFF2-40B4-BE49-F238E27FC236}">
              <a16:creationId xmlns:a16="http://schemas.microsoft.com/office/drawing/2014/main" id="{88292EBF-C252-49CF-A23F-4C60DC75F955}"/>
            </a:ext>
          </a:extLst>
        </xdr:cNvPr>
        <xdr:cNvSpPr txBox="1"/>
      </xdr:nvSpPr>
      <xdr:spPr>
        <a:xfrm>
          <a:off x="628650" y="1457324"/>
          <a:ext cx="25241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tx1"/>
              </a:solidFill>
              <a:latin typeface="Arial" panose="020B0604020202020204" pitchFamily="34" charset="0"/>
              <a:cs typeface="Arial" panose="020B0604020202020204" pitchFamily="34" charset="0"/>
            </a:rPr>
            <a:t>SlimFix</a:t>
          </a:r>
          <a:r>
            <a:rPr lang="nl-NL" sz="1100" baseline="30000">
              <a:solidFill>
                <a:schemeClr val="tx1"/>
              </a:solidFill>
              <a:latin typeface="Arial" panose="020B0604020202020204" pitchFamily="34" charset="0"/>
              <a:cs typeface="Arial" panose="020B0604020202020204" pitchFamily="34" charset="0"/>
            </a:rPr>
            <a:t>(XT)</a:t>
          </a:r>
          <a:r>
            <a:rPr lang="nl-NL" sz="1100">
              <a:solidFill>
                <a:schemeClr val="tx1"/>
              </a:solidFill>
              <a:latin typeface="Arial" panose="020B0604020202020204" pitchFamily="34" charset="0"/>
              <a:cs typeface="Arial" panose="020B0604020202020204" pitchFamily="34" charset="0"/>
            </a:rPr>
            <a:t>, SlimFix</a:t>
          </a:r>
          <a:r>
            <a:rPr lang="nl-NL" sz="1100" baseline="30000">
              <a:solidFill>
                <a:schemeClr val="tx1"/>
              </a:solidFill>
              <a:latin typeface="Arial" panose="020B0604020202020204" pitchFamily="34" charset="0"/>
              <a:cs typeface="Arial" panose="020B0604020202020204" pitchFamily="34" charset="0"/>
            </a:rPr>
            <a:t>XT</a:t>
          </a:r>
          <a:r>
            <a:rPr lang="nl-NL" sz="1100">
              <a:solidFill>
                <a:schemeClr val="tx1"/>
              </a:solidFill>
              <a:latin typeface="Arial" panose="020B0604020202020204" pitchFamily="34" charset="0"/>
              <a:cs typeface="Arial" panose="020B0604020202020204" pitchFamily="34" charset="0"/>
            </a:rPr>
            <a:t> Passief, </a:t>
          </a:r>
        </a:p>
        <a:p>
          <a:r>
            <a:rPr lang="nl-NL" sz="1100">
              <a:solidFill>
                <a:schemeClr val="tx1"/>
              </a:solidFill>
              <a:latin typeface="Arial" panose="020B0604020202020204" pitchFamily="34" charset="0"/>
              <a:cs typeface="Arial" panose="020B0604020202020204" pitchFamily="34" charset="0"/>
            </a:rPr>
            <a:t>SlimFix</a:t>
          </a:r>
          <a:r>
            <a:rPr lang="nl-NL" sz="1100" baseline="30000">
              <a:solidFill>
                <a:schemeClr val="tx1"/>
              </a:solidFill>
              <a:latin typeface="Arial" panose="020B0604020202020204" pitchFamily="34" charset="0"/>
              <a:cs typeface="Arial" panose="020B0604020202020204" pitchFamily="34" charset="0"/>
            </a:rPr>
            <a:t>(XT) </a:t>
          </a:r>
          <a:r>
            <a:rPr lang="nl-NL" sz="1100">
              <a:solidFill>
                <a:schemeClr val="tx1"/>
              </a:solidFill>
              <a:latin typeface="Arial" panose="020B0604020202020204" pitchFamily="34" charset="0"/>
              <a:cs typeface="Arial" panose="020B0604020202020204" pitchFamily="34" charset="0"/>
            </a:rPr>
            <a:t>Riet</a:t>
          </a:r>
        </a:p>
      </xdr:txBody>
    </xdr:sp>
    <xdr:clientData/>
  </xdr:twoCellAnchor>
  <xdr:twoCellAnchor editAs="oneCell">
    <xdr:from>
      <xdr:col>4</xdr:col>
      <xdr:colOff>28575</xdr:colOff>
      <xdr:row>23</xdr:row>
      <xdr:rowOff>62765</xdr:rowOff>
    </xdr:from>
    <xdr:to>
      <xdr:col>7</xdr:col>
      <xdr:colOff>323850</xdr:colOff>
      <xdr:row>31</xdr:row>
      <xdr:rowOff>114015</xdr:rowOff>
    </xdr:to>
    <xdr:pic>
      <xdr:nvPicPr>
        <xdr:cNvPr id="5" name="Afbeelding 4">
          <a:hlinkClick xmlns:r="http://schemas.openxmlformats.org/officeDocument/2006/relationships" r:id="rId4"/>
          <a:extLst>
            <a:ext uri="{FF2B5EF4-FFF2-40B4-BE49-F238E27FC236}">
              <a16:creationId xmlns:a16="http://schemas.microsoft.com/office/drawing/2014/main" id="{A9861D94-FBA4-4A9D-91F5-EBD13BD637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86025" y="4863365"/>
          <a:ext cx="2371725" cy="1575250"/>
        </a:xfrm>
        <a:prstGeom prst="rect">
          <a:avLst/>
        </a:prstGeom>
      </xdr:spPr>
    </xdr:pic>
    <xdr:clientData/>
  </xdr:twoCellAnchor>
  <xdr:twoCellAnchor editAs="oneCell">
    <xdr:from>
      <xdr:col>6</xdr:col>
      <xdr:colOff>438151</xdr:colOff>
      <xdr:row>12</xdr:row>
      <xdr:rowOff>76200</xdr:rowOff>
    </xdr:from>
    <xdr:to>
      <xdr:col>10</xdr:col>
      <xdr:colOff>133351</xdr:colOff>
      <xdr:row>20</xdr:row>
      <xdr:rowOff>133776</xdr:rowOff>
    </xdr:to>
    <xdr:pic>
      <xdr:nvPicPr>
        <xdr:cNvPr id="7" name="Afbeelding 6">
          <a:hlinkClick xmlns:r="http://schemas.openxmlformats.org/officeDocument/2006/relationships" r:id="rId6"/>
          <a:extLst>
            <a:ext uri="{FF2B5EF4-FFF2-40B4-BE49-F238E27FC236}">
              <a16:creationId xmlns:a16="http://schemas.microsoft.com/office/drawing/2014/main" id="{9D105012-F323-483C-B567-E17839106A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14801" y="2781300"/>
          <a:ext cx="2381250" cy="1581576"/>
        </a:xfrm>
        <a:prstGeom prst="rect">
          <a:avLst/>
        </a:prstGeom>
      </xdr:spPr>
    </xdr:pic>
    <xdr:clientData/>
  </xdr:twoCellAnchor>
  <xdr:twoCellAnchor>
    <xdr:from>
      <xdr:col>6</xdr:col>
      <xdr:colOff>361950</xdr:colOff>
      <xdr:row>10</xdr:row>
      <xdr:rowOff>142875</xdr:rowOff>
    </xdr:from>
    <xdr:to>
      <xdr:col>11</xdr:col>
      <xdr:colOff>257175</xdr:colOff>
      <xdr:row>12</xdr:row>
      <xdr:rowOff>133350</xdr:rowOff>
    </xdr:to>
    <xdr:sp macro="" textlink="">
      <xdr:nvSpPr>
        <xdr:cNvPr id="15" name="Tekstvak 14">
          <a:extLst>
            <a:ext uri="{FF2B5EF4-FFF2-40B4-BE49-F238E27FC236}">
              <a16:creationId xmlns:a16="http://schemas.microsoft.com/office/drawing/2014/main" id="{A8903831-4BCB-4415-8F61-5FDD4374CE12}"/>
            </a:ext>
          </a:extLst>
        </xdr:cNvPr>
        <xdr:cNvSpPr txBox="1"/>
      </xdr:nvSpPr>
      <xdr:spPr>
        <a:xfrm>
          <a:off x="4038600" y="1905000"/>
          <a:ext cx="29432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tx1"/>
              </a:solidFill>
              <a:latin typeface="Arial" panose="020B0604020202020204" pitchFamily="34" charset="0"/>
              <a:cs typeface="Arial" panose="020B0604020202020204" pitchFamily="34" charset="0"/>
            </a:rPr>
            <a:t>SlimFix Reno</a:t>
          </a:r>
          <a:r>
            <a:rPr lang="nl-NL" sz="1100" baseline="30000">
              <a:solidFill>
                <a:schemeClr val="tx1"/>
              </a:solidFill>
              <a:latin typeface="Arial" panose="020B0604020202020204" pitchFamily="34" charset="0"/>
              <a:cs typeface="Arial" panose="020B0604020202020204" pitchFamily="34" charset="0"/>
            </a:rPr>
            <a:t>+</a:t>
          </a:r>
        </a:p>
      </xdr:txBody>
    </xdr:sp>
    <xdr:clientData/>
  </xdr:twoCellAnchor>
  <xdr:twoCellAnchor>
    <xdr:from>
      <xdr:col>3</xdr:col>
      <xdr:colOff>666750</xdr:colOff>
      <xdr:row>21</xdr:row>
      <xdr:rowOff>123825</xdr:rowOff>
    </xdr:from>
    <xdr:to>
      <xdr:col>8</xdr:col>
      <xdr:colOff>457200</xdr:colOff>
      <xdr:row>23</xdr:row>
      <xdr:rowOff>152400</xdr:rowOff>
    </xdr:to>
    <xdr:sp macro="" textlink="">
      <xdr:nvSpPr>
        <xdr:cNvPr id="16" name="Tekstvak 15">
          <a:extLst>
            <a:ext uri="{FF2B5EF4-FFF2-40B4-BE49-F238E27FC236}">
              <a16:creationId xmlns:a16="http://schemas.microsoft.com/office/drawing/2014/main" id="{31433419-2615-4C54-9244-C733217C8319}"/>
            </a:ext>
          </a:extLst>
        </xdr:cNvPr>
        <xdr:cNvSpPr txBox="1"/>
      </xdr:nvSpPr>
      <xdr:spPr>
        <a:xfrm>
          <a:off x="2409825" y="4733925"/>
          <a:ext cx="29432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tx1"/>
              </a:solidFill>
              <a:latin typeface="Arial" panose="020B0604020202020204" pitchFamily="34" charset="0"/>
              <a:cs typeface="Arial" panose="020B0604020202020204" pitchFamily="34" charset="0"/>
            </a:rPr>
            <a:t>SlimFix Reno</a:t>
          </a:r>
          <a:r>
            <a:rPr lang="nl-NL" sz="1100" baseline="30000">
              <a:solidFill>
                <a:schemeClr val="tx1"/>
              </a:solidFill>
              <a:latin typeface="Arial" panose="020B0604020202020204" pitchFamily="34" charset="0"/>
              <a:cs typeface="Arial" panose="020B0604020202020204" pitchFamily="34" charset="0"/>
            </a:rPr>
            <a:t>Twin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132992</xdr:colOff>
      <xdr:row>1</xdr:row>
      <xdr:rowOff>66675</xdr:rowOff>
    </xdr:from>
    <xdr:to>
      <xdr:col>12</xdr:col>
      <xdr:colOff>1</xdr:colOff>
      <xdr:row>7</xdr:row>
      <xdr:rowOff>38100</xdr:rowOff>
    </xdr:to>
    <xdr:pic>
      <xdr:nvPicPr>
        <xdr:cNvPr id="8" name="Afbeelding 7">
          <a:extLst>
            <a:ext uri="{FF2B5EF4-FFF2-40B4-BE49-F238E27FC236}">
              <a16:creationId xmlns:a16="http://schemas.microsoft.com/office/drawing/2014/main" id="{90BFA324-426D-40C5-9E35-37BBB8064646}"/>
            </a:ext>
          </a:extLst>
        </xdr:cNvPr>
        <xdr:cNvPicPr>
          <a:picLocks noChangeAspect="1"/>
        </xdr:cNvPicPr>
      </xdr:nvPicPr>
      <xdr:blipFill>
        <a:blip xmlns:r="http://schemas.openxmlformats.org/officeDocument/2006/relationships" r:embed="rId1"/>
        <a:stretch>
          <a:fillRect/>
        </a:stretch>
      </xdr:blipFill>
      <xdr:spPr>
        <a:xfrm>
          <a:off x="6181367" y="257175"/>
          <a:ext cx="2333984" cy="1057275"/>
        </a:xfrm>
        <a:prstGeom prst="rect">
          <a:avLst/>
        </a:prstGeom>
      </xdr:spPr>
    </xdr:pic>
    <xdr:clientData/>
  </xdr:twoCellAnchor>
  <xdr:twoCellAnchor>
    <xdr:from>
      <xdr:col>3</xdr:col>
      <xdr:colOff>38100</xdr:colOff>
      <xdr:row>25</xdr:row>
      <xdr:rowOff>133350</xdr:rowOff>
    </xdr:from>
    <xdr:to>
      <xdr:col>7</xdr:col>
      <xdr:colOff>685800</xdr:colOff>
      <xdr:row>25</xdr:row>
      <xdr:rowOff>133350</xdr:rowOff>
    </xdr:to>
    <xdr:cxnSp macro="">
      <xdr:nvCxnSpPr>
        <xdr:cNvPr id="11" name="Rechte verbindingslijn met pijl 10">
          <a:extLst>
            <a:ext uri="{FF2B5EF4-FFF2-40B4-BE49-F238E27FC236}">
              <a16:creationId xmlns:a16="http://schemas.microsoft.com/office/drawing/2014/main" id="{EAA12BDF-7A9A-442D-89B3-C7FA16499846}"/>
            </a:ext>
          </a:extLst>
        </xdr:cNvPr>
        <xdr:cNvCxnSpPr/>
      </xdr:nvCxnSpPr>
      <xdr:spPr>
        <a:xfrm>
          <a:off x="2324100" y="4733925"/>
          <a:ext cx="33147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647700</xdr:colOff>
      <xdr:row>19</xdr:row>
      <xdr:rowOff>66675</xdr:rowOff>
    </xdr:from>
    <xdr:to>
      <xdr:col>9</xdr:col>
      <xdr:colOff>657225</xdr:colOff>
      <xdr:row>20</xdr:row>
      <xdr:rowOff>95250</xdr:rowOff>
    </xdr:to>
    <xdr:sp macro="" textlink="">
      <xdr:nvSpPr>
        <xdr:cNvPr id="15" name="Tekstvak 14">
          <a:extLst>
            <a:ext uri="{FF2B5EF4-FFF2-40B4-BE49-F238E27FC236}">
              <a16:creationId xmlns:a16="http://schemas.microsoft.com/office/drawing/2014/main" id="{178B8261-4D52-4ED9-A029-1A387EA30E04}"/>
            </a:ext>
          </a:extLst>
        </xdr:cNvPr>
        <xdr:cNvSpPr txBox="1"/>
      </xdr:nvSpPr>
      <xdr:spPr>
        <a:xfrm>
          <a:off x="5600700" y="3524250"/>
          <a:ext cx="1438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lengte</a:t>
          </a:r>
        </a:p>
      </xdr:txBody>
    </xdr:sp>
    <xdr:clientData/>
  </xdr:twoCellAnchor>
  <xdr:twoCellAnchor>
    <xdr:from>
      <xdr:col>3</xdr:col>
      <xdr:colOff>1304925</xdr:colOff>
      <xdr:row>25</xdr:row>
      <xdr:rowOff>95250</xdr:rowOff>
    </xdr:from>
    <xdr:to>
      <xdr:col>6</xdr:col>
      <xdr:colOff>114300</xdr:colOff>
      <xdr:row>27</xdr:row>
      <xdr:rowOff>38100</xdr:rowOff>
    </xdr:to>
    <xdr:sp macro="" textlink="">
      <xdr:nvSpPr>
        <xdr:cNvPr id="16" name="Tekstvak 15">
          <a:extLst>
            <a:ext uri="{FF2B5EF4-FFF2-40B4-BE49-F238E27FC236}">
              <a16:creationId xmlns:a16="http://schemas.microsoft.com/office/drawing/2014/main" id="{D3ED75D7-7FA6-4912-B829-9ED1CD8422CF}"/>
            </a:ext>
          </a:extLst>
        </xdr:cNvPr>
        <xdr:cNvSpPr txBox="1"/>
      </xdr:nvSpPr>
      <xdr:spPr>
        <a:xfrm>
          <a:off x="3590925" y="4695825"/>
          <a:ext cx="9334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breedte</a:t>
          </a:r>
        </a:p>
      </xdr:txBody>
    </xdr:sp>
    <xdr:clientData/>
  </xdr:twoCellAnchor>
  <xdr:twoCellAnchor editAs="oneCell">
    <xdr:from>
      <xdr:col>2</xdr:col>
      <xdr:colOff>885825</xdr:colOff>
      <xdr:row>16</xdr:row>
      <xdr:rowOff>9525</xdr:rowOff>
    </xdr:from>
    <xdr:to>
      <xdr:col>7</xdr:col>
      <xdr:colOff>714375</xdr:colOff>
      <xdr:row>25</xdr:row>
      <xdr:rowOff>60930</xdr:rowOff>
    </xdr:to>
    <xdr:pic>
      <xdr:nvPicPr>
        <xdr:cNvPr id="7" name="Afbeelding 6">
          <a:extLst>
            <a:ext uri="{FF2B5EF4-FFF2-40B4-BE49-F238E27FC236}">
              <a16:creationId xmlns:a16="http://schemas.microsoft.com/office/drawing/2014/main" id="{DDC2FD57-3660-44C7-B1DC-2CB62D4C50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8850" y="2895600"/>
          <a:ext cx="3438525" cy="1765905"/>
        </a:xfrm>
        <a:prstGeom prst="rect">
          <a:avLst/>
        </a:prstGeom>
      </xdr:spPr>
    </xdr:pic>
    <xdr:clientData/>
  </xdr:twoCellAnchor>
  <xdr:twoCellAnchor>
    <xdr:from>
      <xdr:col>7</xdr:col>
      <xdr:colOff>238125</xdr:colOff>
      <xdr:row>16</xdr:row>
      <xdr:rowOff>47625</xdr:rowOff>
    </xdr:from>
    <xdr:to>
      <xdr:col>7</xdr:col>
      <xdr:colOff>923925</xdr:colOff>
      <xdr:row>24</xdr:row>
      <xdr:rowOff>152400</xdr:rowOff>
    </xdr:to>
    <xdr:cxnSp macro="">
      <xdr:nvCxnSpPr>
        <xdr:cNvPr id="14" name="Rechte verbindingslijn met pijl 13">
          <a:extLst>
            <a:ext uri="{FF2B5EF4-FFF2-40B4-BE49-F238E27FC236}">
              <a16:creationId xmlns:a16="http://schemas.microsoft.com/office/drawing/2014/main" id="{78C4B592-4DC0-4428-BE8D-21BB6C9993D7}"/>
            </a:ext>
          </a:extLst>
        </xdr:cNvPr>
        <xdr:cNvCxnSpPr/>
      </xdr:nvCxnSpPr>
      <xdr:spPr>
        <a:xfrm>
          <a:off x="5191125" y="2933700"/>
          <a:ext cx="685800" cy="16287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352424</xdr:colOff>
      <xdr:row>32</xdr:row>
      <xdr:rowOff>104775</xdr:rowOff>
    </xdr:from>
    <xdr:to>
      <xdr:col>9</xdr:col>
      <xdr:colOff>828674</xdr:colOff>
      <xdr:row>39</xdr:row>
      <xdr:rowOff>78917</xdr:rowOff>
    </xdr:to>
    <xdr:pic>
      <xdr:nvPicPr>
        <xdr:cNvPr id="18" name="Afbeelding 17">
          <a:extLst>
            <a:ext uri="{FF2B5EF4-FFF2-40B4-BE49-F238E27FC236}">
              <a16:creationId xmlns:a16="http://schemas.microsoft.com/office/drawing/2014/main" id="{FCB79AA8-142A-4D09-BC3C-70C30D13AB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48149" y="5657850"/>
          <a:ext cx="2962275" cy="1307642"/>
        </a:xfrm>
        <a:prstGeom prst="rect">
          <a:avLst/>
        </a:prstGeom>
      </xdr:spPr>
    </xdr:pic>
    <xdr:clientData/>
  </xdr:twoCellAnchor>
  <xdr:twoCellAnchor>
    <xdr:from>
      <xdr:col>7</xdr:col>
      <xdr:colOff>19050</xdr:colOff>
      <xdr:row>35</xdr:row>
      <xdr:rowOff>133350</xdr:rowOff>
    </xdr:from>
    <xdr:to>
      <xdr:col>7</xdr:col>
      <xdr:colOff>352425</xdr:colOff>
      <xdr:row>37</xdr:row>
      <xdr:rowOff>38100</xdr:rowOff>
    </xdr:to>
    <xdr:sp macro="" textlink="">
      <xdr:nvSpPr>
        <xdr:cNvPr id="20" name="Tekstvak 19">
          <a:extLst>
            <a:ext uri="{FF2B5EF4-FFF2-40B4-BE49-F238E27FC236}">
              <a16:creationId xmlns:a16="http://schemas.microsoft.com/office/drawing/2014/main" id="{861C3D0F-CEC9-4ECF-A425-5C6DF0E30B25}"/>
            </a:ext>
          </a:extLst>
        </xdr:cNvPr>
        <xdr:cNvSpPr txBox="1"/>
      </xdr:nvSpPr>
      <xdr:spPr>
        <a:xfrm>
          <a:off x="4972050" y="6257925"/>
          <a:ext cx="3333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2</a:t>
          </a:r>
        </a:p>
      </xdr:txBody>
    </xdr:sp>
    <xdr:clientData/>
  </xdr:twoCellAnchor>
  <xdr:twoCellAnchor>
    <xdr:from>
      <xdr:col>7</xdr:col>
      <xdr:colOff>942975</xdr:colOff>
      <xdr:row>35</xdr:row>
      <xdr:rowOff>142875</xdr:rowOff>
    </xdr:from>
    <xdr:to>
      <xdr:col>8</xdr:col>
      <xdr:colOff>114300</xdr:colOff>
      <xdr:row>37</xdr:row>
      <xdr:rowOff>47625</xdr:rowOff>
    </xdr:to>
    <xdr:sp macro="" textlink="">
      <xdr:nvSpPr>
        <xdr:cNvPr id="21" name="Tekstvak 20">
          <a:extLst>
            <a:ext uri="{FF2B5EF4-FFF2-40B4-BE49-F238E27FC236}">
              <a16:creationId xmlns:a16="http://schemas.microsoft.com/office/drawing/2014/main" id="{1AEDE150-065A-4E67-BDC7-EDA0E30B7A55}"/>
            </a:ext>
          </a:extLst>
        </xdr:cNvPr>
        <xdr:cNvSpPr txBox="1"/>
      </xdr:nvSpPr>
      <xdr:spPr>
        <a:xfrm>
          <a:off x="5895975" y="6267450"/>
          <a:ext cx="3333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3</a:t>
          </a:r>
        </a:p>
      </xdr:txBody>
    </xdr:sp>
    <xdr:clientData/>
  </xdr:twoCellAnchor>
  <xdr:twoCellAnchor>
    <xdr:from>
      <xdr:col>9</xdr:col>
      <xdr:colOff>361950</xdr:colOff>
      <xdr:row>35</xdr:row>
      <xdr:rowOff>161924</xdr:rowOff>
    </xdr:from>
    <xdr:to>
      <xdr:col>9</xdr:col>
      <xdr:colOff>695325</xdr:colOff>
      <xdr:row>37</xdr:row>
      <xdr:rowOff>76199</xdr:rowOff>
    </xdr:to>
    <xdr:sp macro="" textlink="">
      <xdr:nvSpPr>
        <xdr:cNvPr id="22" name="Tekstvak 21">
          <a:extLst>
            <a:ext uri="{FF2B5EF4-FFF2-40B4-BE49-F238E27FC236}">
              <a16:creationId xmlns:a16="http://schemas.microsoft.com/office/drawing/2014/main" id="{B46FD7B4-EE09-40E2-A77F-8A3E41D628A5}"/>
            </a:ext>
          </a:extLst>
        </xdr:cNvPr>
        <xdr:cNvSpPr txBox="1"/>
      </xdr:nvSpPr>
      <xdr:spPr>
        <a:xfrm>
          <a:off x="6743700" y="6286499"/>
          <a:ext cx="33337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4</a:t>
          </a:r>
        </a:p>
      </xdr:txBody>
    </xdr:sp>
    <xdr:clientData/>
  </xdr:twoCellAnchor>
  <xdr:twoCellAnchor>
    <xdr:from>
      <xdr:col>6</xdr:col>
      <xdr:colOff>523875</xdr:colOff>
      <xdr:row>5</xdr:row>
      <xdr:rowOff>85725</xdr:rowOff>
    </xdr:from>
    <xdr:to>
      <xdr:col>8</xdr:col>
      <xdr:colOff>114300</xdr:colOff>
      <xdr:row>7</xdr:row>
      <xdr:rowOff>85725</xdr:rowOff>
    </xdr:to>
    <xdr:sp macro="" textlink="">
      <xdr:nvSpPr>
        <xdr:cNvPr id="2" name="Rectangle: Rounded Corners 1">
          <a:hlinkClick xmlns:r="http://schemas.openxmlformats.org/officeDocument/2006/relationships" r:id="rId4"/>
          <a:extLst>
            <a:ext uri="{FF2B5EF4-FFF2-40B4-BE49-F238E27FC236}">
              <a16:creationId xmlns:a16="http://schemas.microsoft.com/office/drawing/2014/main" id="{094B486A-CEBA-4F58-85CB-E788273BF239}"/>
            </a:ext>
          </a:extLst>
        </xdr:cNvPr>
        <xdr:cNvSpPr/>
      </xdr:nvSpPr>
      <xdr:spPr>
        <a:xfrm>
          <a:off x="4933950" y="981075"/>
          <a:ext cx="1295400" cy="381000"/>
        </a:xfrm>
        <a:prstGeom prst="round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400">
              <a:latin typeface="Arial" panose="020B0604020202020204" pitchFamily="34" charset="0"/>
              <a:cs typeface="Arial" panose="020B0604020202020204" pitchFamily="34" charset="0"/>
            </a:rPr>
            <a:t>Retour 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971549</xdr:colOff>
      <xdr:row>15</xdr:row>
      <xdr:rowOff>141446</xdr:rowOff>
    </xdr:from>
    <xdr:to>
      <xdr:col>7</xdr:col>
      <xdr:colOff>295275</xdr:colOff>
      <xdr:row>23</xdr:row>
      <xdr:rowOff>190332</xdr:rowOff>
    </xdr:to>
    <xdr:pic>
      <xdr:nvPicPr>
        <xdr:cNvPr id="9" name="Afbeelding 8">
          <a:extLst>
            <a:ext uri="{FF2B5EF4-FFF2-40B4-BE49-F238E27FC236}">
              <a16:creationId xmlns:a16="http://schemas.microsoft.com/office/drawing/2014/main" id="{FA883323-8276-4298-896B-0BAB42020B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4574" y="3094196"/>
          <a:ext cx="3371851" cy="1572886"/>
        </a:xfrm>
        <a:prstGeom prst="rect">
          <a:avLst/>
        </a:prstGeom>
      </xdr:spPr>
    </xdr:pic>
    <xdr:clientData/>
  </xdr:twoCellAnchor>
  <xdr:twoCellAnchor editAs="oneCell">
    <xdr:from>
      <xdr:col>8</xdr:col>
      <xdr:colOff>66317</xdr:colOff>
      <xdr:row>1</xdr:row>
      <xdr:rowOff>123825</xdr:rowOff>
    </xdr:from>
    <xdr:to>
      <xdr:col>12</xdr:col>
      <xdr:colOff>1</xdr:colOff>
      <xdr:row>7</xdr:row>
      <xdr:rowOff>28575</xdr:rowOff>
    </xdr:to>
    <xdr:pic>
      <xdr:nvPicPr>
        <xdr:cNvPr id="2" name="Afbeelding 7">
          <a:extLst>
            <a:ext uri="{FF2B5EF4-FFF2-40B4-BE49-F238E27FC236}">
              <a16:creationId xmlns:a16="http://schemas.microsoft.com/office/drawing/2014/main" id="{87B95D3B-0D90-4385-864C-B0FD3CE31099}"/>
            </a:ext>
          </a:extLst>
        </xdr:cNvPr>
        <xdr:cNvPicPr>
          <a:picLocks noChangeAspect="1"/>
        </xdr:cNvPicPr>
      </xdr:nvPicPr>
      <xdr:blipFill>
        <a:blip xmlns:r="http://schemas.openxmlformats.org/officeDocument/2006/relationships" r:embed="rId2"/>
        <a:stretch>
          <a:fillRect/>
        </a:stretch>
      </xdr:blipFill>
      <xdr:spPr>
        <a:xfrm>
          <a:off x="6457592" y="314325"/>
          <a:ext cx="2333984" cy="1057275"/>
        </a:xfrm>
        <a:prstGeom prst="rect">
          <a:avLst/>
        </a:prstGeom>
      </xdr:spPr>
    </xdr:pic>
    <xdr:clientData/>
  </xdr:twoCellAnchor>
  <xdr:twoCellAnchor>
    <xdr:from>
      <xdr:col>2</xdr:col>
      <xdr:colOff>952500</xdr:colOff>
      <xdr:row>24</xdr:row>
      <xdr:rowOff>104775</xdr:rowOff>
    </xdr:from>
    <xdr:to>
      <xdr:col>7</xdr:col>
      <xdr:colOff>219075</xdr:colOff>
      <xdr:row>24</xdr:row>
      <xdr:rowOff>104775</xdr:rowOff>
    </xdr:to>
    <xdr:cxnSp macro="">
      <xdr:nvCxnSpPr>
        <xdr:cNvPr id="3" name="Rechte verbindingslijn met pijl 10">
          <a:extLst>
            <a:ext uri="{FF2B5EF4-FFF2-40B4-BE49-F238E27FC236}">
              <a16:creationId xmlns:a16="http://schemas.microsoft.com/office/drawing/2014/main" id="{4784451A-0E5E-41A2-A474-2D38C36691E0}"/>
            </a:ext>
          </a:extLst>
        </xdr:cNvPr>
        <xdr:cNvCxnSpPr/>
      </xdr:nvCxnSpPr>
      <xdr:spPr>
        <a:xfrm>
          <a:off x="2295525" y="4705350"/>
          <a:ext cx="33147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219075</xdr:colOff>
      <xdr:row>18</xdr:row>
      <xdr:rowOff>123825</xdr:rowOff>
    </xdr:from>
    <xdr:to>
      <xdr:col>9</xdr:col>
      <xdr:colOff>228600</xdr:colOff>
      <xdr:row>19</xdr:row>
      <xdr:rowOff>152400</xdr:rowOff>
    </xdr:to>
    <xdr:sp macro="" textlink="">
      <xdr:nvSpPr>
        <xdr:cNvPr id="4" name="Tekstvak 14">
          <a:extLst>
            <a:ext uri="{FF2B5EF4-FFF2-40B4-BE49-F238E27FC236}">
              <a16:creationId xmlns:a16="http://schemas.microsoft.com/office/drawing/2014/main" id="{BF73E3C1-D7E9-4E07-8439-770B93A90886}"/>
            </a:ext>
          </a:extLst>
        </xdr:cNvPr>
        <xdr:cNvSpPr txBox="1"/>
      </xdr:nvSpPr>
      <xdr:spPr>
        <a:xfrm>
          <a:off x="5610225" y="3581400"/>
          <a:ext cx="14097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lengte</a:t>
          </a:r>
        </a:p>
      </xdr:txBody>
    </xdr:sp>
    <xdr:clientData/>
  </xdr:twoCellAnchor>
  <xdr:twoCellAnchor>
    <xdr:from>
      <xdr:col>3</xdr:col>
      <xdr:colOff>800100</xdr:colOff>
      <xdr:row>24</xdr:row>
      <xdr:rowOff>76200</xdr:rowOff>
    </xdr:from>
    <xdr:to>
      <xdr:col>5</xdr:col>
      <xdr:colOff>123825</xdr:colOff>
      <xdr:row>26</xdr:row>
      <xdr:rowOff>19050</xdr:rowOff>
    </xdr:to>
    <xdr:sp macro="" textlink="">
      <xdr:nvSpPr>
        <xdr:cNvPr id="5" name="Tekstvak 15">
          <a:extLst>
            <a:ext uri="{FF2B5EF4-FFF2-40B4-BE49-F238E27FC236}">
              <a16:creationId xmlns:a16="http://schemas.microsoft.com/office/drawing/2014/main" id="{92D32DD2-024B-4951-AEC0-D5B0028145F0}"/>
            </a:ext>
          </a:extLst>
        </xdr:cNvPr>
        <xdr:cNvSpPr txBox="1"/>
      </xdr:nvSpPr>
      <xdr:spPr>
        <a:xfrm>
          <a:off x="3524250" y="4676775"/>
          <a:ext cx="9334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breedte</a:t>
          </a:r>
        </a:p>
      </xdr:txBody>
    </xdr:sp>
    <xdr:clientData/>
  </xdr:twoCellAnchor>
  <xdr:twoCellAnchor>
    <xdr:from>
      <xdr:col>6</xdr:col>
      <xdr:colOff>323850</xdr:colOff>
      <xdr:row>15</xdr:row>
      <xdr:rowOff>142875</xdr:rowOff>
    </xdr:from>
    <xdr:to>
      <xdr:col>7</xdr:col>
      <xdr:colOff>428625</xdr:colOff>
      <xdr:row>23</xdr:row>
      <xdr:rowOff>76200</xdr:rowOff>
    </xdr:to>
    <xdr:cxnSp macro="">
      <xdr:nvCxnSpPr>
        <xdr:cNvPr id="7" name="Rechte verbindingslijn met pijl 13">
          <a:extLst>
            <a:ext uri="{FF2B5EF4-FFF2-40B4-BE49-F238E27FC236}">
              <a16:creationId xmlns:a16="http://schemas.microsoft.com/office/drawing/2014/main" id="{39B6D703-F238-41F8-9713-C24F714C3841}"/>
            </a:ext>
          </a:extLst>
        </xdr:cNvPr>
        <xdr:cNvCxnSpPr/>
      </xdr:nvCxnSpPr>
      <xdr:spPr>
        <a:xfrm>
          <a:off x="5172075" y="3095625"/>
          <a:ext cx="647700" cy="14573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285750</xdr:colOff>
      <xdr:row>5</xdr:row>
      <xdr:rowOff>114300</xdr:rowOff>
    </xdr:from>
    <xdr:to>
      <xdr:col>8</xdr:col>
      <xdr:colOff>38100</xdr:colOff>
      <xdr:row>7</xdr:row>
      <xdr:rowOff>114300</xdr:rowOff>
    </xdr:to>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B0B41E29-A3D9-496A-93E6-52D51CBFCEFF}"/>
            </a:ext>
          </a:extLst>
        </xdr:cNvPr>
        <xdr:cNvSpPr/>
      </xdr:nvSpPr>
      <xdr:spPr>
        <a:xfrm>
          <a:off x="5133975" y="1038225"/>
          <a:ext cx="1295400" cy="381000"/>
        </a:xfrm>
        <a:prstGeom prst="round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400">
              <a:latin typeface="Arial" panose="020B0604020202020204" pitchFamily="34" charset="0"/>
              <a:cs typeface="Arial" panose="020B0604020202020204" pitchFamily="34" charset="0"/>
            </a:rPr>
            <a:t>Retour menu</a:t>
          </a:r>
        </a:p>
      </xdr:txBody>
    </xdr:sp>
    <xdr:clientData/>
  </xdr:twoCellAnchor>
  <xdr:twoCellAnchor editAs="oneCell">
    <xdr:from>
      <xdr:col>5</xdr:col>
      <xdr:colOff>457200</xdr:colOff>
      <xdr:row>29</xdr:row>
      <xdr:rowOff>76200</xdr:rowOff>
    </xdr:from>
    <xdr:to>
      <xdr:col>10</xdr:col>
      <xdr:colOff>38100</xdr:colOff>
      <xdr:row>36</xdr:row>
      <xdr:rowOff>50342</xdr:rowOff>
    </xdr:to>
    <xdr:pic>
      <xdr:nvPicPr>
        <xdr:cNvPr id="13" name="Afbeelding 17">
          <a:extLst>
            <a:ext uri="{FF2B5EF4-FFF2-40B4-BE49-F238E27FC236}">
              <a16:creationId xmlns:a16="http://schemas.microsoft.com/office/drawing/2014/main" id="{0A01611F-E854-466C-966C-DB5FC6FE23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91075" y="5657850"/>
          <a:ext cx="2962275" cy="1307642"/>
        </a:xfrm>
        <a:prstGeom prst="rect">
          <a:avLst/>
        </a:prstGeom>
      </xdr:spPr>
    </xdr:pic>
    <xdr:clientData/>
  </xdr:twoCellAnchor>
  <xdr:twoCellAnchor>
    <xdr:from>
      <xdr:col>7</xdr:col>
      <xdr:colOff>142876</xdr:colOff>
      <xdr:row>32</xdr:row>
      <xdr:rowOff>142875</xdr:rowOff>
    </xdr:from>
    <xdr:to>
      <xdr:col>7</xdr:col>
      <xdr:colOff>438151</xdr:colOff>
      <xdr:row>34</xdr:row>
      <xdr:rowOff>66675</xdr:rowOff>
    </xdr:to>
    <xdr:sp macro="" textlink="">
      <xdr:nvSpPr>
        <xdr:cNvPr id="14" name="TextBox 8">
          <a:extLst>
            <a:ext uri="{FF2B5EF4-FFF2-40B4-BE49-F238E27FC236}">
              <a16:creationId xmlns:a16="http://schemas.microsoft.com/office/drawing/2014/main" id="{FC0687E6-61DE-4FB5-91FD-6E1640C28B20}"/>
            </a:ext>
          </a:extLst>
        </xdr:cNvPr>
        <xdr:cNvSpPr txBox="1"/>
      </xdr:nvSpPr>
      <xdr:spPr>
        <a:xfrm>
          <a:off x="5534026" y="6296025"/>
          <a:ext cx="295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2</a:t>
          </a:r>
        </a:p>
      </xdr:txBody>
    </xdr:sp>
    <xdr:clientData/>
  </xdr:twoCellAnchor>
  <xdr:twoCellAnchor>
    <xdr:from>
      <xdr:col>8</xdr:col>
      <xdr:colOff>57151</xdr:colOff>
      <xdr:row>32</xdr:row>
      <xdr:rowOff>133350</xdr:rowOff>
    </xdr:from>
    <xdr:to>
      <xdr:col>8</xdr:col>
      <xdr:colOff>371476</xdr:colOff>
      <xdr:row>34</xdr:row>
      <xdr:rowOff>104775</xdr:rowOff>
    </xdr:to>
    <xdr:sp macro="" textlink="">
      <xdr:nvSpPr>
        <xdr:cNvPr id="15" name="TextBox 9">
          <a:extLst>
            <a:ext uri="{FF2B5EF4-FFF2-40B4-BE49-F238E27FC236}">
              <a16:creationId xmlns:a16="http://schemas.microsoft.com/office/drawing/2014/main" id="{8FECBC6A-B948-4D64-B367-90F968F14127}"/>
            </a:ext>
          </a:extLst>
        </xdr:cNvPr>
        <xdr:cNvSpPr txBox="1"/>
      </xdr:nvSpPr>
      <xdr:spPr>
        <a:xfrm>
          <a:off x="6448426" y="6286500"/>
          <a:ext cx="31432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3</a:t>
          </a:r>
        </a:p>
      </xdr:txBody>
    </xdr:sp>
    <xdr:clientData/>
  </xdr:twoCellAnchor>
  <xdr:twoCellAnchor>
    <xdr:from>
      <xdr:col>9</xdr:col>
      <xdr:colOff>552451</xdr:colOff>
      <xdr:row>32</xdr:row>
      <xdr:rowOff>161925</xdr:rowOff>
    </xdr:from>
    <xdr:to>
      <xdr:col>9</xdr:col>
      <xdr:colOff>847726</xdr:colOff>
      <xdr:row>34</xdr:row>
      <xdr:rowOff>85725</xdr:rowOff>
    </xdr:to>
    <xdr:sp macro="" textlink="">
      <xdr:nvSpPr>
        <xdr:cNvPr id="16" name="TextBox 10">
          <a:extLst>
            <a:ext uri="{FF2B5EF4-FFF2-40B4-BE49-F238E27FC236}">
              <a16:creationId xmlns:a16="http://schemas.microsoft.com/office/drawing/2014/main" id="{3848CEC1-6AA5-4248-AF2A-81A05C473492}"/>
            </a:ext>
          </a:extLst>
        </xdr:cNvPr>
        <xdr:cNvSpPr txBox="1"/>
      </xdr:nvSpPr>
      <xdr:spPr>
        <a:xfrm>
          <a:off x="7343776" y="6315075"/>
          <a:ext cx="295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4</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962024</xdr:colOff>
      <xdr:row>16</xdr:row>
      <xdr:rowOff>57151</xdr:rowOff>
    </xdr:from>
    <xdr:to>
      <xdr:col>7</xdr:col>
      <xdr:colOff>266699</xdr:colOff>
      <xdr:row>25</xdr:row>
      <xdr:rowOff>104129</xdr:rowOff>
    </xdr:to>
    <xdr:pic>
      <xdr:nvPicPr>
        <xdr:cNvPr id="14" name="Afbeelding 13">
          <a:extLst>
            <a:ext uri="{FF2B5EF4-FFF2-40B4-BE49-F238E27FC236}">
              <a16:creationId xmlns:a16="http://schemas.microsoft.com/office/drawing/2014/main" id="{C9A2071C-B203-4C9A-A398-C99BFCBE98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5049" y="3009901"/>
          <a:ext cx="3533775" cy="1761478"/>
        </a:xfrm>
        <a:prstGeom prst="rect">
          <a:avLst/>
        </a:prstGeom>
      </xdr:spPr>
    </xdr:pic>
    <xdr:clientData/>
  </xdr:twoCellAnchor>
  <xdr:twoCellAnchor editAs="oneCell">
    <xdr:from>
      <xdr:col>8</xdr:col>
      <xdr:colOff>66317</xdr:colOff>
      <xdr:row>1</xdr:row>
      <xdr:rowOff>123825</xdr:rowOff>
    </xdr:from>
    <xdr:to>
      <xdr:col>12</xdr:col>
      <xdr:colOff>1</xdr:colOff>
      <xdr:row>7</xdr:row>
      <xdr:rowOff>28575</xdr:rowOff>
    </xdr:to>
    <xdr:pic>
      <xdr:nvPicPr>
        <xdr:cNvPr id="2" name="Afbeelding 7">
          <a:extLst>
            <a:ext uri="{FF2B5EF4-FFF2-40B4-BE49-F238E27FC236}">
              <a16:creationId xmlns:a16="http://schemas.microsoft.com/office/drawing/2014/main" id="{39AB8806-6608-410C-BCF9-4DFE45583FCC}"/>
            </a:ext>
          </a:extLst>
        </xdr:cNvPr>
        <xdr:cNvPicPr>
          <a:picLocks noChangeAspect="1"/>
        </xdr:cNvPicPr>
      </xdr:nvPicPr>
      <xdr:blipFill>
        <a:blip xmlns:r="http://schemas.openxmlformats.org/officeDocument/2006/relationships" r:embed="rId2"/>
        <a:stretch>
          <a:fillRect/>
        </a:stretch>
      </xdr:blipFill>
      <xdr:spPr>
        <a:xfrm>
          <a:off x="6457592" y="314325"/>
          <a:ext cx="2333984" cy="1057275"/>
        </a:xfrm>
        <a:prstGeom prst="rect">
          <a:avLst/>
        </a:prstGeom>
      </xdr:spPr>
    </xdr:pic>
    <xdr:clientData/>
  </xdr:twoCellAnchor>
  <xdr:twoCellAnchor>
    <xdr:from>
      <xdr:col>2</xdr:col>
      <xdr:colOff>952500</xdr:colOff>
      <xdr:row>25</xdr:row>
      <xdr:rowOff>104775</xdr:rowOff>
    </xdr:from>
    <xdr:to>
      <xdr:col>7</xdr:col>
      <xdr:colOff>219075</xdr:colOff>
      <xdr:row>25</xdr:row>
      <xdr:rowOff>104775</xdr:rowOff>
    </xdr:to>
    <xdr:cxnSp macro="">
      <xdr:nvCxnSpPr>
        <xdr:cNvPr id="3" name="Rechte verbindingslijn met pijl 10">
          <a:extLst>
            <a:ext uri="{FF2B5EF4-FFF2-40B4-BE49-F238E27FC236}">
              <a16:creationId xmlns:a16="http://schemas.microsoft.com/office/drawing/2014/main" id="{049A7F99-A8F0-48AE-B23D-658D2F3F2C66}"/>
            </a:ext>
          </a:extLst>
        </xdr:cNvPr>
        <xdr:cNvCxnSpPr/>
      </xdr:nvCxnSpPr>
      <xdr:spPr>
        <a:xfrm>
          <a:off x="2295525" y="4733925"/>
          <a:ext cx="33147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219075</xdr:colOff>
      <xdr:row>19</xdr:row>
      <xdr:rowOff>123825</xdr:rowOff>
    </xdr:from>
    <xdr:to>
      <xdr:col>9</xdr:col>
      <xdr:colOff>228600</xdr:colOff>
      <xdr:row>20</xdr:row>
      <xdr:rowOff>152400</xdr:rowOff>
    </xdr:to>
    <xdr:sp macro="" textlink="">
      <xdr:nvSpPr>
        <xdr:cNvPr id="4" name="Tekstvak 14">
          <a:extLst>
            <a:ext uri="{FF2B5EF4-FFF2-40B4-BE49-F238E27FC236}">
              <a16:creationId xmlns:a16="http://schemas.microsoft.com/office/drawing/2014/main" id="{C234AFBA-D287-4EF3-B693-C5D15E4B4271}"/>
            </a:ext>
          </a:extLst>
        </xdr:cNvPr>
        <xdr:cNvSpPr txBox="1"/>
      </xdr:nvSpPr>
      <xdr:spPr>
        <a:xfrm>
          <a:off x="5610225" y="3609975"/>
          <a:ext cx="14097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lengte</a:t>
          </a:r>
        </a:p>
      </xdr:txBody>
    </xdr:sp>
    <xdr:clientData/>
  </xdr:twoCellAnchor>
  <xdr:twoCellAnchor>
    <xdr:from>
      <xdr:col>3</xdr:col>
      <xdr:colOff>800100</xdr:colOff>
      <xdr:row>25</xdr:row>
      <xdr:rowOff>76200</xdr:rowOff>
    </xdr:from>
    <xdr:to>
      <xdr:col>5</xdr:col>
      <xdr:colOff>123825</xdr:colOff>
      <xdr:row>27</xdr:row>
      <xdr:rowOff>19050</xdr:rowOff>
    </xdr:to>
    <xdr:sp macro="" textlink="">
      <xdr:nvSpPr>
        <xdr:cNvPr id="5" name="Tekstvak 15">
          <a:extLst>
            <a:ext uri="{FF2B5EF4-FFF2-40B4-BE49-F238E27FC236}">
              <a16:creationId xmlns:a16="http://schemas.microsoft.com/office/drawing/2014/main" id="{8CA9E698-7543-4F35-B87D-8674A9EC5ED5}"/>
            </a:ext>
          </a:extLst>
        </xdr:cNvPr>
        <xdr:cNvSpPr txBox="1"/>
      </xdr:nvSpPr>
      <xdr:spPr>
        <a:xfrm>
          <a:off x="3524250" y="4705350"/>
          <a:ext cx="9334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breedte</a:t>
          </a:r>
        </a:p>
      </xdr:txBody>
    </xdr:sp>
    <xdr:clientData/>
  </xdr:twoCellAnchor>
  <xdr:twoCellAnchor>
    <xdr:from>
      <xdr:col>6</xdr:col>
      <xdr:colOff>333375</xdr:colOff>
      <xdr:row>16</xdr:row>
      <xdr:rowOff>123825</xdr:rowOff>
    </xdr:from>
    <xdr:to>
      <xdr:col>7</xdr:col>
      <xdr:colOff>447675</xdr:colOff>
      <xdr:row>24</xdr:row>
      <xdr:rowOff>152400</xdr:rowOff>
    </xdr:to>
    <xdr:cxnSp macro="">
      <xdr:nvCxnSpPr>
        <xdr:cNvPr id="7" name="Rechte verbindingslijn met pijl 13">
          <a:extLst>
            <a:ext uri="{FF2B5EF4-FFF2-40B4-BE49-F238E27FC236}">
              <a16:creationId xmlns:a16="http://schemas.microsoft.com/office/drawing/2014/main" id="{8CA237B9-2195-4840-955E-F2B5C251A0F9}"/>
            </a:ext>
          </a:extLst>
        </xdr:cNvPr>
        <xdr:cNvCxnSpPr/>
      </xdr:nvCxnSpPr>
      <xdr:spPr>
        <a:xfrm>
          <a:off x="5267325" y="3076575"/>
          <a:ext cx="752475" cy="15525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342899</xdr:colOff>
      <xdr:row>30</xdr:row>
      <xdr:rowOff>114300</xdr:rowOff>
    </xdr:from>
    <xdr:to>
      <xdr:col>9</xdr:col>
      <xdr:colOff>752474</xdr:colOff>
      <xdr:row>37</xdr:row>
      <xdr:rowOff>88442</xdr:rowOff>
    </xdr:to>
    <xdr:pic>
      <xdr:nvPicPr>
        <xdr:cNvPr id="8" name="Afbeelding 17">
          <a:extLst>
            <a:ext uri="{FF2B5EF4-FFF2-40B4-BE49-F238E27FC236}">
              <a16:creationId xmlns:a16="http://schemas.microsoft.com/office/drawing/2014/main" id="{FC62B592-F8B9-4C3A-9685-187073BA20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6774" y="5657850"/>
          <a:ext cx="2962275" cy="1307642"/>
        </a:xfrm>
        <a:prstGeom prst="rect">
          <a:avLst/>
        </a:prstGeom>
      </xdr:spPr>
    </xdr:pic>
    <xdr:clientData/>
  </xdr:twoCellAnchor>
  <xdr:twoCellAnchor>
    <xdr:from>
      <xdr:col>6</xdr:col>
      <xdr:colOff>571500</xdr:colOff>
      <xdr:row>33</xdr:row>
      <xdr:rowOff>180975</xdr:rowOff>
    </xdr:from>
    <xdr:to>
      <xdr:col>7</xdr:col>
      <xdr:colOff>228600</xdr:colOff>
      <xdr:row>35</xdr:row>
      <xdr:rowOff>0</xdr:rowOff>
    </xdr:to>
    <xdr:sp macro="" textlink="">
      <xdr:nvSpPr>
        <xdr:cNvPr id="9" name="TextBox 8">
          <a:extLst>
            <a:ext uri="{FF2B5EF4-FFF2-40B4-BE49-F238E27FC236}">
              <a16:creationId xmlns:a16="http://schemas.microsoft.com/office/drawing/2014/main" id="{5354805E-8F2A-48F4-AFEC-766202616122}"/>
            </a:ext>
          </a:extLst>
        </xdr:cNvPr>
        <xdr:cNvSpPr txBox="1"/>
      </xdr:nvSpPr>
      <xdr:spPr>
        <a:xfrm>
          <a:off x="5419725" y="6296025"/>
          <a:ext cx="295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2</a:t>
          </a:r>
        </a:p>
      </xdr:txBody>
    </xdr:sp>
    <xdr:clientData/>
  </xdr:twoCellAnchor>
  <xdr:twoCellAnchor>
    <xdr:from>
      <xdr:col>7</xdr:col>
      <xdr:colOff>847725</xdr:colOff>
      <xdr:row>33</xdr:row>
      <xdr:rowOff>171450</xdr:rowOff>
    </xdr:from>
    <xdr:to>
      <xdr:col>8</xdr:col>
      <xdr:colOff>161925</xdr:colOff>
      <xdr:row>35</xdr:row>
      <xdr:rowOff>0</xdr:rowOff>
    </xdr:to>
    <xdr:sp macro="" textlink="">
      <xdr:nvSpPr>
        <xdr:cNvPr id="10" name="TextBox 9">
          <a:extLst>
            <a:ext uri="{FF2B5EF4-FFF2-40B4-BE49-F238E27FC236}">
              <a16:creationId xmlns:a16="http://schemas.microsoft.com/office/drawing/2014/main" id="{8AB1073C-1E64-40A1-A41C-494A151515F0}"/>
            </a:ext>
          </a:extLst>
        </xdr:cNvPr>
        <xdr:cNvSpPr txBox="1"/>
      </xdr:nvSpPr>
      <xdr:spPr>
        <a:xfrm>
          <a:off x="6334125" y="6286500"/>
          <a:ext cx="31432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3</a:t>
          </a:r>
        </a:p>
      </xdr:txBody>
    </xdr:sp>
    <xdr:clientData/>
  </xdr:twoCellAnchor>
  <xdr:twoCellAnchor>
    <xdr:from>
      <xdr:col>9</xdr:col>
      <xdr:colOff>342900</xdr:colOff>
      <xdr:row>34</xdr:row>
      <xdr:rowOff>9525</xdr:rowOff>
    </xdr:from>
    <xdr:to>
      <xdr:col>9</xdr:col>
      <xdr:colOff>638175</xdr:colOff>
      <xdr:row>35</xdr:row>
      <xdr:rowOff>0</xdr:rowOff>
    </xdr:to>
    <xdr:sp macro="" textlink="">
      <xdr:nvSpPr>
        <xdr:cNvPr id="11" name="TextBox 10">
          <a:extLst>
            <a:ext uri="{FF2B5EF4-FFF2-40B4-BE49-F238E27FC236}">
              <a16:creationId xmlns:a16="http://schemas.microsoft.com/office/drawing/2014/main" id="{50C4241F-23CB-4E9B-B8F4-4F942F093902}"/>
            </a:ext>
          </a:extLst>
        </xdr:cNvPr>
        <xdr:cNvSpPr txBox="1"/>
      </xdr:nvSpPr>
      <xdr:spPr>
        <a:xfrm>
          <a:off x="7229475" y="6315075"/>
          <a:ext cx="295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latin typeface="Arial" panose="020B0604020202020204" pitchFamily="34" charset="0"/>
              <a:cs typeface="Arial" panose="020B0604020202020204" pitchFamily="34" charset="0"/>
            </a:rPr>
            <a:t>4</a:t>
          </a:r>
        </a:p>
      </xdr:txBody>
    </xdr:sp>
    <xdr:clientData/>
  </xdr:twoCellAnchor>
  <xdr:twoCellAnchor>
    <xdr:from>
      <xdr:col>6</xdr:col>
      <xdr:colOff>409575</xdr:colOff>
      <xdr:row>5</xdr:row>
      <xdr:rowOff>85725</xdr:rowOff>
    </xdr:from>
    <xdr:to>
      <xdr:col>8</xdr:col>
      <xdr:colOff>66675</xdr:colOff>
      <xdr:row>7</xdr:row>
      <xdr:rowOff>85725</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DC115DA5-C020-401A-B11B-21C0131D8B3E}"/>
            </a:ext>
          </a:extLst>
        </xdr:cNvPr>
        <xdr:cNvSpPr/>
      </xdr:nvSpPr>
      <xdr:spPr>
        <a:xfrm>
          <a:off x="5257800" y="1009650"/>
          <a:ext cx="1295400" cy="381000"/>
        </a:xfrm>
        <a:prstGeom prst="round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400">
              <a:latin typeface="Arial" panose="020B0604020202020204" pitchFamily="34" charset="0"/>
              <a:cs typeface="Arial" panose="020B0604020202020204" pitchFamily="34" charset="0"/>
            </a:rPr>
            <a:t>Retour 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190498</xdr:colOff>
      <xdr:row>12</xdr:row>
      <xdr:rowOff>27878</xdr:rowOff>
    </xdr:from>
    <xdr:to>
      <xdr:col>4</xdr:col>
      <xdr:colOff>487865</xdr:colOff>
      <xdr:row>13</xdr:row>
      <xdr:rowOff>30773</xdr:rowOff>
    </xdr:to>
    <xdr:sp macro="" textlink="">
      <xdr:nvSpPr>
        <xdr:cNvPr id="3" name="Line 9">
          <a:extLst>
            <a:ext uri="{FF2B5EF4-FFF2-40B4-BE49-F238E27FC236}">
              <a16:creationId xmlns:a16="http://schemas.microsoft.com/office/drawing/2014/main" id="{EF2D7B9A-14A3-490D-830A-3E1E42BE0408}"/>
            </a:ext>
          </a:extLst>
        </xdr:cNvPr>
        <xdr:cNvSpPr>
          <a:spLocks noChangeShapeType="1"/>
        </xdr:cNvSpPr>
      </xdr:nvSpPr>
      <xdr:spPr bwMode="auto">
        <a:xfrm flipH="1">
          <a:off x="2552698" y="1970978"/>
          <a:ext cx="297367" cy="1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29308</xdr:colOff>
      <xdr:row>12</xdr:row>
      <xdr:rowOff>73269</xdr:rowOff>
    </xdr:from>
    <xdr:to>
      <xdr:col>4</xdr:col>
      <xdr:colOff>527539</xdr:colOff>
      <xdr:row>14</xdr:row>
      <xdr:rowOff>7327</xdr:rowOff>
    </xdr:to>
    <xdr:cxnSp macro="">
      <xdr:nvCxnSpPr>
        <xdr:cNvPr id="4" name="Rechte verbindingslijn 3">
          <a:extLst>
            <a:ext uri="{FF2B5EF4-FFF2-40B4-BE49-F238E27FC236}">
              <a16:creationId xmlns:a16="http://schemas.microsoft.com/office/drawing/2014/main" id="{055C0EC0-3BDA-4C00-B535-2D6C047EB385}"/>
            </a:ext>
          </a:extLst>
        </xdr:cNvPr>
        <xdr:cNvCxnSpPr/>
      </xdr:nvCxnSpPr>
      <xdr:spPr bwMode="auto">
        <a:xfrm flipV="1">
          <a:off x="2391508" y="2016369"/>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58616</xdr:colOff>
      <xdr:row>12</xdr:row>
      <xdr:rowOff>117230</xdr:rowOff>
    </xdr:from>
    <xdr:to>
      <xdr:col>4</xdr:col>
      <xdr:colOff>556847</xdr:colOff>
      <xdr:row>14</xdr:row>
      <xdr:rowOff>51288</xdr:rowOff>
    </xdr:to>
    <xdr:cxnSp macro="">
      <xdr:nvCxnSpPr>
        <xdr:cNvPr id="5" name="Rechte verbindingslijn 4">
          <a:extLst>
            <a:ext uri="{FF2B5EF4-FFF2-40B4-BE49-F238E27FC236}">
              <a16:creationId xmlns:a16="http://schemas.microsoft.com/office/drawing/2014/main" id="{C0C9A4A7-50E5-4B1A-B21C-1AEEF8CD1766}"/>
            </a:ext>
          </a:extLst>
        </xdr:cNvPr>
        <xdr:cNvCxnSpPr/>
      </xdr:nvCxnSpPr>
      <xdr:spPr bwMode="auto">
        <a:xfrm flipV="1">
          <a:off x="2420816" y="2060330"/>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320595</xdr:colOff>
      <xdr:row>11</xdr:row>
      <xdr:rowOff>60403</xdr:rowOff>
    </xdr:from>
    <xdr:to>
      <xdr:col>2</xdr:col>
      <xdr:colOff>320595</xdr:colOff>
      <xdr:row>12</xdr:row>
      <xdr:rowOff>148682</xdr:rowOff>
    </xdr:to>
    <xdr:sp macro="" textlink="">
      <xdr:nvSpPr>
        <xdr:cNvPr id="6" name="Line 9">
          <a:extLst>
            <a:ext uri="{FF2B5EF4-FFF2-40B4-BE49-F238E27FC236}">
              <a16:creationId xmlns:a16="http://schemas.microsoft.com/office/drawing/2014/main" id="{5F12CAE8-5484-43E4-AD4F-5436AF001D41}"/>
            </a:ext>
          </a:extLst>
        </xdr:cNvPr>
        <xdr:cNvSpPr>
          <a:spLocks noChangeShapeType="1"/>
        </xdr:cNvSpPr>
      </xdr:nvSpPr>
      <xdr:spPr bwMode="auto">
        <a:xfrm flipH="1">
          <a:off x="1501695" y="1841578"/>
          <a:ext cx="0" cy="2502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2</xdr:col>
      <xdr:colOff>61832</xdr:colOff>
      <xdr:row>11</xdr:row>
      <xdr:rowOff>12866</xdr:rowOff>
    </xdr:from>
    <xdr:to>
      <xdr:col>2</xdr:col>
      <xdr:colOff>560063</xdr:colOff>
      <xdr:row>12</xdr:row>
      <xdr:rowOff>128132</xdr:rowOff>
    </xdr:to>
    <xdr:cxnSp macro="">
      <xdr:nvCxnSpPr>
        <xdr:cNvPr id="7" name="Rechte verbindingslijn 6">
          <a:extLst>
            <a:ext uri="{FF2B5EF4-FFF2-40B4-BE49-F238E27FC236}">
              <a16:creationId xmlns:a16="http://schemas.microsoft.com/office/drawing/2014/main" id="{0FB157FD-68E1-4A11-8ADA-99161B06B140}"/>
            </a:ext>
          </a:extLst>
        </xdr:cNvPr>
        <xdr:cNvCxnSpPr/>
      </xdr:nvCxnSpPr>
      <xdr:spPr bwMode="auto">
        <a:xfrm flipV="1">
          <a:off x="1242932" y="1794041"/>
          <a:ext cx="498231" cy="27719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91140</xdr:colOff>
      <xdr:row>11</xdr:row>
      <xdr:rowOff>56827</xdr:rowOff>
    </xdr:from>
    <xdr:to>
      <xdr:col>2</xdr:col>
      <xdr:colOff>589371</xdr:colOff>
      <xdr:row>13</xdr:row>
      <xdr:rowOff>9471</xdr:rowOff>
    </xdr:to>
    <xdr:cxnSp macro="">
      <xdr:nvCxnSpPr>
        <xdr:cNvPr id="8" name="Rechte verbindingslijn 7">
          <a:extLst>
            <a:ext uri="{FF2B5EF4-FFF2-40B4-BE49-F238E27FC236}">
              <a16:creationId xmlns:a16="http://schemas.microsoft.com/office/drawing/2014/main" id="{9E82D0B0-382E-4D7D-BA08-8218570DD620}"/>
            </a:ext>
          </a:extLst>
        </xdr:cNvPr>
        <xdr:cNvCxnSpPr/>
      </xdr:nvCxnSpPr>
      <xdr:spPr bwMode="auto">
        <a:xfrm flipV="1">
          <a:off x="1272240" y="1838002"/>
          <a:ext cx="498231" cy="27649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190498</xdr:colOff>
      <xdr:row>12</xdr:row>
      <xdr:rowOff>27878</xdr:rowOff>
    </xdr:from>
    <xdr:to>
      <xdr:col>15</xdr:col>
      <xdr:colOff>487865</xdr:colOff>
      <xdr:row>13</xdr:row>
      <xdr:rowOff>30773</xdr:rowOff>
    </xdr:to>
    <xdr:sp macro="" textlink="">
      <xdr:nvSpPr>
        <xdr:cNvPr id="9" name="Line 9">
          <a:extLst>
            <a:ext uri="{FF2B5EF4-FFF2-40B4-BE49-F238E27FC236}">
              <a16:creationId xmlns:a16="http://schemas.microsoft.com/office/drawing/2014/main" id="{2378194D-596C-4020-B616-138A32CF2043}"/>
            </a:ext>
          </a:extLst>
        </xdr:cNvPr>
        <xdr:cNvSpPr>
          <a:spLocks noChangeShapeType="1"/>
        </xdr:cNvSpPr>
      </xdr:nvSpPr>
      <xdr:spPr bwMode="auto">
        <a:xfrm flipH="1">
          <a:off x="2552698" y="2037653"/>
          <a:ext cx="297367" cy="1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29308</xdr:colOff>
      <xdr:row>12</xdr:row>
      <xdr:rowOff>73269</xdr:rowOff>
    </xdr:from>
    <xdr:to>
      <xdr:col>15</xdr:col>
      <xdr:colOff>527539</xdr:colOff>
      <xdr:row>14</xdr:row>
      <xdr:rowOff>7327</xdr:rowOff>
    </xdr:to>
    <xdr:cxnSp macro="">
      <xdr:nvCxnSpPr>
        <xdr:cNvPr id="10" name="Rechte verbindingslijn 9">
          <a:extLst>
            <a:ext uri="{FF2B5EF4-FFF2-40B4-BE49-F238E27FC236}">
              <a16:creationId xmlns:a16="http://schemas.microsoft.com/office/drawing/2014/main" id="{9F5E2412-9174-4FFB-AE4D-7CD8717B2C82}"/>
            </a:ext>
          </a:extLst>
        </xdr:cNvPr>
        <xdr:cNvCxnSpPr/>
      </xdr:nvCxnSpPr>
      <xdr:spPr bwMode="auto">
        <a:xfrm flipV="1">
          <a:off x="2391508" y="2083044"/>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58616</xdr:colOff>
      <xdr:row>12</xdr:row>
      <xdr:rowOff>117230</xdr:rowOff>
    </xdr:from>
    <xdr:to>
      <xdr:col>15</xdr:col>
      <xdr:colOff>556847</xdr:colOff>
      <xdr:row>14</xdr:row>
      <xdr:rowOff>51288</xdr:rowOff>
    </xdr:to>
    <xdr:cxnSp macro="">
      <xdr:nvCxnSpPr>
        <xdr:cNvPr id="11" name="Rechte verbindingslijn 10">
          <a:extLst>
            <a:ext uri="{FF2B5EF4-FFF2-40B4-BE49-F238E27FC236}">
              <a16:creationId xmlns:a16="http://schemas.microsoft.com/office/drawing/2014/main" id="{9565500D-D6EE-41B9-B8B2-86F99A662A41}"/>
            </a:ext>
          </a:extLst>
        </xdr:cNvPr>
        <xdr:cNvCxnSpPr/>
      </xdr:nvCxnSpPr>
      <xdr:spPr bwMode="auto">
        <a:xfrm flipV="1">
          <a:off x="2420816" y="2127005"/>
          <a:ext cx="498231" cy="276958"/>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320595</xdr:colOff>
      <xdr:row>11</xdr:row>
      <xdr:rowOff>60403</xdr:rowOff>
    </xdr:from>
    <xdr:to>
      <xdr:col>13</xdr:col>
      <xdr:colOff>320595</xdr:colOff>
      <xdr:row>12</xdr:row>
      <xdr:rowOff>148682</xdr:rowOff>
    </xdr:to>
    <xdr:sp macro="" textlink="">
      <xdr:nvSpPr>
        <xdr:cNvPr id="12" name="Line 9">
          <a:extLst>
            <a:ext uri="{FF2B5EF4-FFF2-40B4-BE49-F238E27FC236}">
              <a16:creationId xmlns:a16="http://schemas.microsoft.com/office/drawing/2014/main" id="{A09F0ECA-B834-4D87-B8CD-A597DE64D356}"/>
            </a:ext>
          </a:extLst>
        </xdr:cNvPr>
        <xdr:cNvSpPr>
          <a:spLocks noChangeShapeType="1"/>
        </xdr:cNvSpPr>
      </xdr:nvSpPr>
      <xdr:spPr bwMode="auto">
        <a:xfrm flipH="1">
          <a:off x="1501695" y="1908253"/>
          <a:ext cx="0" cy="2502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13</xdr:col>
      <xdr:colOff>61832</xdr:colOff>
      <xdr:row>11</xdr:row>
      <xdr:rowOff>12866</xdr:rowOff>
    </xdr:from>
    <xdr:to>
      <xdr:col>13</xdr:col>
      <xdr:colOff>560063</xdr:colOff>
      <xdr:row>12</xdr:row>
      <xdr:rowOff>128132</xdr:rowOff>
    </xdr:to>
    <xdr:cxnSp macro="">
      <xdr:nvCxnSpPr>
        <xdr:cNvPr id="13" name="Rechte verbindingslijn 12">
          <a:extLst>
            <a:ext uri="{FF2B5EF4-FFF2-40B4-BE49-F238E27FC236}">
              <a16:creationId xmlns:a16="http://schemas.microsoft.com/office/drawing/2014/main" id="{F5803ABE-A8DB-486C-B22E-08E099267AF5}"/>
            </a:ext>
          </a:extLst>
        </xdr:cNvPr>
        <xdr:cNvCxnSpPr/>
      </xdr:nvCxnSpPr>
      <xdr:spPr bwMode="auto">
        <a:xfrm flipV="1">
          <a:off x="1242932" y="1860716"/>
          <a:ext cx="498231" cy="27719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91140</xdr:colOff>
      <xdr:row>11</xdr:row>
      <xdr:rowOff>56827</xdr:rowOff>
    </xdr:from>
    <xdr:to>
      <xdr:col>13</xdr:col>
      <xdr:colOff>589371</xdr:colOff>
      <xdr:row>13</xdr:row>
      <xdr:rowOff>9471</xdr:rowOff>
    </xdr:to>
    <xdr:cxnSp macro="">
      <xdr:nvCxnSpPr>
        <xdr:cNvPr id="14" name="Rechte verbindingslijn 13">
          <a:extLst>
            <a:ext uri="{FF2B5EF4-FFF2-40B4-BE49-F238E27FC236}">
              <a16:creationId xmlns:a16="http://schemas.microsoft.com/office/drawing/2014/main" id="{0B68BE65-0907-4B4C-A7DD-15B3E852F803}"/>
            </a:ext>
          </a:extLst>
        </xdr:cNvPr>
        <xdr:cNvCxnSpPr/>
      </xdr:nvCxnSpPr>
      <xdr:spPr bwMode="auto">
        <a:xfrm flipV="1">
          <a:off x="1272240" y="1904677"/>
          <a:ext cx="498231" cy="27649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6F6E-8473-4AC4-84B2-A624FC8355D5}">
  <dimension ref="A3:AB42"/>
  <sheetViews>
    <sheetView workbookViewId="0">
      <selection activeCell="F9" sqref="F9"/>
    </sheetView>
  </sheetViews>
  <sheetFormatPr defaultColWidth="9.140625" defaultRowHeight="12.75" x14ac:dyDescent="0.2"/>
  <cols>
    <col min="1" max="11" width="8.85546875" style="29" customWidth="1"/>
    <col min="12" max="16384" width="9.140625" style="29"/>
  </cols>
  <sheetData>
    <row r="3" spans="1:28" x14ac:dyDescent="0.2">
      <c r="A3" s="28"/>
      <c r="B3" s="28"/>
      <c r="C3" s="28"/>
      <c r="D3" s="28"/>
      <c r="E3" s="28"/>
      <c r="F3" s="28"/>
      <c r="G3" s="28"/>
      <c r="H3" s="28"/>
      <c r="I3" s="28"/>
      <c r="J3" s="28"/>
    </row>
    <row r="4" spans="1:28" x14ac:dyDescent="0.2">
      <c r="L4" s="29" t="s">
        <v>50</v>
      </c>
      <c r="M4" s="30">
        <v>44503</v>
      </c>
    </row>
    <row r="5" spans="1:28" s="35" customFormat="1" ht="15" x14ac:dyDescent="0.25">
      <c r="A5" s="31"/>
      <c r="B5" s="32" t="s">
        <v>51</v>
      </c>
      <c r="C5" s="33"/>
      <c r="D5" s="33" t="s">
        <v>52</v>
      </c>
      <c r="E5" s="33"/>
      <c r="F5" s="33"/>
      <c r="G5" s="33"/>
      <c r="H5" s="33"/>
      <c r="I5" s="33"/>
      <c r="J5" s="34"/>
      <c r="M5" s="36"/>
    </row>
    <row r="6" spans="1:28" s="35" customFormat="1" x14ac:dyDescent="0.25">
      <c r="A6" s="37" t="s">
        <v>53</v>
      </c>
      <c r="B6" s="38" t="s">
        <v>54</v>
      </c>
      <c r="C6" s="38"/>
      <c r="D6" s="38"/>
      <c r="E6" s="39"/>
      <c r="F6" s="38"/>
      <c r="G6" s="38"/>
      <c r="H6" s="38"/>
      <c r="I6" s="38"/>
      <c r="J6" s="40"/>
      <c r="L6" s="35" t="s">
        <v>55</v>
      </c>
    </row>
    <row r="7" spans="1:28" s="35" customFormat="1" ht="14.25" x14ac:dyDescent="0.2">
      <c r="A7" s="41"/>
      <c r="B7" s="42" t="s">
        <v>56</v>
      </c>
      <c r="C7" s="43">
        <f>IF(AND(C11&gt;=0,C11&lt;=30),0.8,IF(AND(C11&gt;30,C11&lt;60),(60-C11)/30*0.8,IF(AND(C11&gt;=60,C11&lt;=90),0,IF(C11&gt;90," hoek ???",IF(C11&lt;0," hoek ???"," ")))))</f>
        <v>0.4</v>
      </c>
      <c r="E7" s="42" t="s">
        <v>57</v>
      </c>
      <c r="F7" s="44">
        <v>1</v>
      </c>
      <c r="G7" s="42" t="s">
        <v>58</v>
      </c>
      <c r="H7" s="45">
        <f>0.7*((1-(H8*SQRT(6)/PI()*(LN(-LN(1-1/50))+0.57222)))/(1+2.5923*H8))</f>
        <v>0.70070522619797015</v>
      </c>
      <c r="I7" s="35" t="s">
        <v>59</v>
      </c>
      <c r="J7" s="46"/>
      <c r="L7" s="29" t="s">
        <v>0</v>
      </c>
      <c r="M7" s="29"/>
      <c r="N7" s="47" t="s">
        <v>60</v>
      </c>
      <c r="O7" s="47" t="s">
        <v>61</v>
      </c>
    </row>
    <row r="8" spans="1:28" s="35" customFormat="1" ht="14.25" x14ac:dyDescent="0.2">
      <c r="A8" s="48"/>
      <c r="B8" s="49" t="s">
        <v>62</v>
      </c>
      <c r="C8" s="50">
        <f>C7*F7*F8*H7</f>
        <v>0.28028209047918806</v>
      </c>
      <c r="D8" s="51" t="s">
        <v>59</v>
      </c>
      <c r="E8" s="49" t="s">
        <v>63</v>
      </c>
      <c r="F8" s="52">
        <v>1</v>
      </c>
      <c r="G8" s="53" t="s">
        <v>64</v>
      </c>
      <c r="H8" s="54">
        <v>0.8</v>
      </c>
      <c r="I8" s="51"/>
      <c r="J8" s="55"/>
      <c r="L8" s="29" t="s">
        <v>65</v>
      </c>
      <c r="M8" s="29"/>
      <c r="N8" s="47">
        <v>9</v>
      </c>
      <c r="O8" s="47">
        <v>3</v>
      </c>
    </row>
    <row r="9" spans="1:28" s="35" customFormat="1" x14ac:dyDescent="0.2">
      <c r="A9" s="29"/>
      <c r="L9" s="29" t="s">
        <v>66</v>
      </c>
      <c r="M9" s="29"/>
      <c r="N9" s="47">
        <v>12</v>
      </c>
      <c r="O9" s="47">
        <v>3</v>
      </c>
    </row>
    <row r="10" spans="1:28" x14ac:dyDescent="0.2">
      <c r="B10" s="29" t="s">
        <v>67</v>
      </c>
      <c r="C10" s="189" t="s">
        <v>65</v>
      </c>
      <c r="D10" s="189"/>
      <c r="F10" s="29" t="str">
        <f>SlimFix!D11&amp;" "&amp;SlimFix!J11</f>
        <v xml:space="preserve">_Type </v>
      </c>
      <c r="K10" s="35"/>
      <c r="L10" s="29" t="s">
        <v>69</v>
      </c>
      <c r="N10" s="47">
        <v>14</v>
      </c>
      <c r="O10" s="47">
        <v>8</v>
      </c>
      <c r="Q10" s="35"/>
      <c r="R10" s="35"/>
      <c r="S10" s="35"/>
      <c r="T10" s="35"/>
    </row>
    <row r="11" spans="1:28" x14ac:dyDescent="0.2">
      <c r="B11" s="56" t="s">
        <v>70</v>
      </c>
      <c r="C11" s="57">
        <v>45</v>
      </c>
      <c r="K11" s="35"/>
      <c r="L11" s="29" t="s">
        <v>71</v>
      </c>
      <c r="N11" s="47">
        <v>18</v>
      </c>
      <c r="O11" s="47">
        <v>8</v>
      </c>
      <c r="Q11" s="35"/>
      <c r="R11" s="35"/>
      <c r="S11" s="35"/>
      <c r="T11" s="35"/>
    </row>
    <row r="12" spans="1:28" x14ac:dyDescent="0.2">
      <c r="K12" s="35"/>
      <c r="L12" s="29" t="s">
        <v>72</v>
      </c>
      <c r="N12" s="47">
        <v>9</v>
      </c>
      <c r="O12" s="47">
        <v>3</v>
      </c>
      <c r="Q12" s="35"/>
      <c r="R12" s="35"/>
      <c r="S12" s="35"/>
      <c r="T12" s="35"/>
    </row>
    <row r="13" spans="1:28" x14ac:dyDescent="0.2">
      <c r="K13" s="35"/>
      <c r="L13" s="29" t="s">
        <v>73</v>
      </c>
      <c r="N13" s="47">
        <v>13</v>
      </c>
      <c r="O13" s="47">
        <v>3</v>
      </c>
      <c r="Q13" s="35"/>
      <c r="R13" s="35"/>
      <c r="S13" s="35"/>
      <c r="T13" s="35"/>
    </row>
    <row r="14" spans="1:28" ht="14.25" x14ac:dyDescent="0.2">
      <c r="B14" s="42" t="s">
        <v>74</v>
      </c>
      <c r="C14" s="47">
        <f>VLOOKUP(C10,L8:N23,3)</f>
        <v>9</v>
      </c>
      <c r="D14" s="29" t="s">
        <v>59</v>
      </c>
      <c r="K14" s="35"/>
      <c r="L14" s="29" t="s">
        <v>75</v>
      </c>
      <c r="N14" s="47">
        <v>14</v>
      </c>
      <c r="O14" s="47">
        <v>8</v>
      </c>
      <c r="Q14" s="35"/>
      <c r="R14" s="35"/>
      <c r="S14" s="35"/>
      <c r="T14" s="35"/>
    </row>
    <row r="15" spans="1:28" ht="14.25" x14ac:dyDescent="0.2">
      <c r="B15" s="42" t="s">
        <v>76</v>
      </c>
      <c r="C15" s="87">
        <v>45</v>
      </c>
      <c r="D15" s="29" t="s">
        <v>77</v>
      </c>
      <c r="E15" s="29" t="s">
        <v>78</v>
      </c>
      <c r="G15" s="42" t="s">
        <v>79</v>
      </c>
      <c r="K15" s="35"/>
      <c r="L15" s="29" t="s">
        <v>80</v>
      </c>
      <c r="N15" s="47">
        <v>18.5</v>
      </c>
      <c r="O15" s="47">
        <v>8</v>
      </c>
      <c r="Q15" s="35"/>
      <c r="R15" s="35"/>
      <c r="S15" s="35"/>
      <c r="T15" s="35"/>
    </row>
    <row r="16" spans="1:28" ht="14.25" x14ac:dyDescent="0.2">
      <c r="B16" s="49" t="s">
        <v>81</v>
      </c>
      <c r="C16" s="59">
        <v>0</v>
      </c>
      <c r="D16" s="28" t="s">
        <v>77</v>
      </c>
      <c r="E16" s="29" t="s">
        <v>82</v>
      </c>
      <c r="G16" s="60" t="s">
        <v>83</v>
      </c>
      <c r="K16" s="35"/>
      <c r="L16" s="29" t="s">
        <v>68</v>
      </c>
      <c r="N16" s="47">
        <v>9.5</v>
      </c>
      <c r="O16" s="47">
        <v>3</v>
      </c>
      <c r="Q16" s="35"/>
      <c r="R16" s="35"/>
      <c r="S16" s="35"/>
      <c r="T16" s="35"/>
    </row>
    <row r="17" spans="1:20" ht="14.25" x14ac:dyDescent="0.2">
      <c r="B17" s="29" t="s">
        <v>84</v>
      </c>
      <c r="C17" s="47">
        <f>SUM(C14:C16)/100</f>
        <v>0.54</v>
      </c>
      <c r="D17" s="29" t="s">
        <v>85</v>
      </c>
      <c r="E17" s="61">
        <f>C17*SIN(C11/180*PI())*C22</f>
        <v>0.38947441507755037</v>
      </c>
      <c r="F17" s="29" t="s">
        <v>86</v>
      </c>
      <c r="G17" s="47">
        <v>1.08</v>
      </c>
      <c r="H17" s="61">
        <f>E17*G17</f>
        <v>0.42063236828375444</v>
      </c>
      <c r="I17" s="29" t="s">
        <v>87</v>
      </c>
      <c r="K17" s="35"/>
      <c r="L17" s="29" t="s">
        <v>88</v>
      </c>
      <c r="N17" s="47">
        <v>13</v>
      </c>
      <c r="O17" s="47">
        <v>3</v>
      </c>
      <c r="Q17" s="35"/>
      <c r="R17" s="35"/>
      <c r="S17" s="35"/>
      <c r="T17" s="35"/>
    </row>
    <row r="18" spans="1:20" ht="14.25" x14ac:dyDescent="0.2">
      <c r="B18" s="29" t="s">
        <v>89</v>
      </c>
      <c r="C18" s="61">
        <f>C8</f>
        <v>0.28028209047918806</v>
      </c>
      <c r="D18" s="29" t="s">
        <v>85</v>
      </c>
      <c r="E18" s="61">
        <f>C18*COS(C11/180*PI())*SIN(C11/180*PI())*C22</f>
        <v>0.14294386614438592</v>
      </c>
      <c r="F18" s="29" t="s">
        <v>86</v>
      </c>
      <c r="G18" s="47">
        <v>1.35</v>
      </c>
      <c r="H18" s="62">
        <f>E18*G18</f>
        <v>0.19297421929492101</v>
      </c>
      <c r="I18" s="29" t="s">
        <v>87</v>
      </c>
      <c r="K18" s="35"/>
      <c r="L18" s="29" t="s">
        <v>90</v>
      </c>
      <c r="N18" s="47">
        <v>14.5</v>
      </c>
      <c r="O18" s="47">
        <v>8</v>
      </c>
      <c r="Q18" s="35"/>
      <c r="R18" s="35"/>
      <c r="S18" s="35"/>
      <c r="T18" s="35"/>
    </row>
    <row r="19" spans="1:20" ht="14.25" x14ac:dyDescent="0.2">
      <c r="H19" s="61">
        <f>SUM(H17:H18)</f>
        <v>0.61360658757867548</v>
      </c>
      <c r="I19" s="29" t="s">
        <v>87</v>
      </c>
      <c r="K19" s="35"/>
      <c r="L19" s="29" t="s">
        <v>91</v>
      </c>
      <c r="N19" s="47">
        <v>19</v>
      </c>
      <c r="O19" s="47">
        <v>8</v>
      </c>
      <c r="Q19" s="35"/>
      <c r="R19" s="35"/>
      <c r="S19" s="35"/>
      <c r="T19" s="35"/>
    </row>
    <row r="20" spans="1:20" x14ac:dyDescent="0.2">
      <c r="K20" s="35"/>
      <c r="L20" s="29" t="s">
        <v>92</v>
      </c>
      <c r="N20" s="47">
        <v>14.5</v>
      </c>
      <c r="O20" s="47">
        <v>8</v>
      </c>
      <c r="Q20" s="35"/>
      <c r="R20" s="35"/>
      <c r="S20" s="35"/>
      <c r="T20" s="35"/>
    </row>
    <row r="21" spans="1:20" x14ac:dyDescent="0.2">
      <c r="B21" s="56" t="s">
        <v>93</v>
      </c>
      <c r="C21" s="87">
        <v>7.5</v>
      </c>
      <c r="D21" s="29" t="s">
        <v>94</v>
      </c>
      <c r="H21" s="61">
        <f>C21*H19</f>
        <v>4.6020494068400657</v>
      </c>
      <c r="I21" s="29" t="s">
        <v>95</v>
      </c>
      <c r="K21" s="35"/>
      <c r="L21" s="29" t="s">
        <v>96</v>
      </c>
      <c r="N21" s="47">
        <v>19</v>
      </c>
      <c r="O21" s="47">
        <v>8</v>
      </c>
      <c r="Q21" s="35"/>
      <c r="R21" s="35"/>
      <c r="S21" s="35"/>
      <c r="T21" s="35"/>
    </row>
    <row r="22" spans="1:20" x14ac:dyDescent="0.2">
      <c r="B22" s="42" t="s">
        <v>97</v>
      </c>
      <c r="C22" s="87">
        <v>1.02</v>
      </c>
      <c r="D22" s="29" t="s">
        <v>94</v>
      </c>
      <c r="K22" s="35"/>
      <c r="L22" s="29" t="s">
        <v>98</v>
      </c>
      <c r="N22" s="47">
        <v>15</v>
      </c>
      <c r="O22" s="47">
        <v>8</v>
      </c>
      <c r="Q22" s="35"/>
      <c r="R22" s="35"/>
      <c r="S22" s="35"/>
      <c r="T22" s="35"/>
    </row>
    <row r="23" spans="1:20" x14ac:dyDescent="0.2">
      <c r="K23" s="35"/>
      <c r="L23" s="29" t="s">
        <v>99</v>
      </c>
      <c r="N23" s="47">
        <v>20</v>
      </c>
      <c r="O23" s="47">
        <v>8</v>
      </c>
      <c r="Q23" s="35"/>
      <c r="R23" s="35"/>
      <c r="S23" s="35"/>
      <c r="T23" s="35"/>
    </row>
    <row r="24" spans="1:20" x14ac:dyDescent="0.2">
      <c r="A24" s="63"/>
      <c r="B24" s="64"/>
      <c r="C24" s="64"/>
      <c r="D24" s="64"/>
      <c r="E24" s="64" t="s">
        <v>100</v>
      </c>
      <c r="F24" s="64" t="s">
        <v>101</v>
      </c>
      <c r="G24" s="64"/>
      <c r="H24" s="64" t="s">
        <v>102</v>
      </c>
      <c r="I24" s="64" t="s">
        <v>103</v>
      </c>
      <c r="J24" s="65"/>
      <c r="K24" s="35"/>
      <c r="Q24" s="35"/>
      <c r="R24" s="35"/>
      <c r="S24" s="35"/>
      <c r="T24" s="35"/>
    </row>
    <row r="25" spans="1:20" x14ac:dyDescent="0.2">
      <c r="A25" s="48"/>
      <c r="B25" s="49" t="s">
        <v>104</v>
      </c>
      <c r="C25" s="66">
        <f>VLOOKUP(C10,L8:O23,4)</f>
        <v>3</v>
      </c>
      <c r="D25" s="28" t="s">
        <v>105</v>
      </c>
      <c r="E25" s="66" t="s">
        <v>106</v>
      </c>
      <c r="F25" s="28" t="s">
        <v>107</v>
      </c>
      <c r="G25" s="28"/>
      <c r="H25" s="28" t="s">
        <v>108</v>
      </c>
      <c r="I25" s="28" t="s">
        <v>109</v>
      </c>
      <c r="J25" s="67"/>
      <c r="K25" s="35"/>
      <c r="P25" s="35"/>
      <c r="Q25" s="35"/>
      <c r="R25" s="35"/>
      <c r="S25" s="35"/>
      <c r="T25" s="35"/>
    </row>
    <row r="26" spans="1:20" ht="16.5" x14ac:dyDescent="0.25">
      <c r="A26" s="68" t="s">
        <v>110</v>
      </c>
      <c r="B26" s="69"/>
      <c r="C26" s="69"/>
      <c r="D26" s="69"/>
      <c r="E26" s="70">
        <v>302</v>
      </c>
      <c r="F26" s="70">
        <v>302</v>
      </c>
      <c r="G26" s="69"/>
      <c r="H26" s="70">
        <f>$F$26*3</f>
        <v>906</v>
      </c>
      <c r="I26" s="71">
        <f>CEILING(($H$21*1000-H26)/F26,1)</f>
        <v>13</v>
      </c>
      <c r="J26" s="72" t="s">
        <v>111</v>
      </c>
      <c r="K26" s="35"/>
      <c r="P26" s="35"/>
      <c r="Q26" s="35"/>
      <c r="R26" s="35"/>
      <c r="S26" s="35"/>
      <c r="T26" s="35"/>
    </row>
    <row r="27" spans="1:20" ht="14.25" x14ac:dyDescent="0.2">
      <c r="A27" s="73" t="s">
        <v>112</v>
      </c>
      <c r="B27" s="74"/>
      <c r="C27" s="74"/>
      <c r="D27" s="74"/>
      <c r="E27" s="75" t="s">
        <v>113</v>
      </c>
      <c r="F27" s="75">
        <v>400</v>
      </c>
      <c r="G27" s="74"/>
      <c r="H27" s="75">
        <f>$F$26*3</f>
        <v>906</v>
      </c>
      <c r="I27" s="76">
        <f>CEILING(($H$21*1000-H27)/F27,1)</f>
        <v>10</v>
      </c>
      <c r="J27" s="77" t="s">
        <v>114</v>
      </c>
      <c r="K27" s="35"/>
      <c r="P27" s="35"/>
      <c r="Q27" s="35"/>
      <c r="R27" s="35"/>
      <c r="S27" s="35"/>
      <c r="T27" s="35"/>
    </row>
    <row r="28" spans="1:20" ht="16.5" x14ac:dyDescent="0.25">
      <c r="A28" s="73" t="s">
        <v>115</v>
      </c>
      <c r="B28" s="74"/>
      <c r="C28" s="74"/>
      <c r="D28" s="74"/>
      <c r="E28" s="75" t="s">
        <v>113</v>
      </c>
      <c r="F28" s="75">
        <v>600</v>
      </c>
      <c r="G28" s="74"/>
      <c r="H28" s="75">
        <f>$F$26*3</f>
        <v>906</v>
      </c>
      <c r="I28" s="76">
        <f>CEILING(($H$21*1000-H28)/F28,1)</f>
        <v>7</v>
      </c>
      <c r="J28" s="77" t="s">
        <v>111</v>
      </c>
      <c r="K28" s="35"/>
      <c r="P28" s="35"/>
      <c r="Q28" s="35"/>
      <c r="R28" s="35"/>
      <c r="S28" s="35"/>
      <c r="T28" s="35"/>
    </row>
    <row r="29" spans="1:20" ht="14.25" x14ac:dyDescent="0.2">
      <c r="A29" s="78" t="s">
        <v>116</v>
      </c>
      <c r="B29" s="79"/>
      <c r="C29" s="79"/>
      <c r="D29" s="79"/>
      <c r="E29" s="80" t="s">
        <v>113</v>
      </c>
      <c r="F29" s="80">
        <v>700</v>
      </c>
      <c r="G29" s="79"/>
      <c r="H29" s="80">
        <f>$F$26*3</f>
        <v>906</v>
      </c>
      <c r="I29" s="81">
        <f>CEILING(($H$21*1000-H29)/F29,1)</f>
        <v>6</v>
      </c>
      <c r="J29" s="82" t="s">
        <v>114</v>
      </c>
      <c r="K29" s="35"/>
      <c r="P29" s="35"/>
      <c r="Q29" s="35"/>
      <c r="R29" s="35"/>
      <c r="S29" s="35"/>
      <c r="T29" s="35"/>
    </row>
    <row r="30" spans="1:20" x14ac:dyDescent="0.2">
      <c r="K30" s="35"/>
      <c r="P30" s="35"/>
      <c r="Q30" s="35"/>
      <c r="R30" s="35"/>
      <c r="S30" s="35"/>
      <c r="T30" s="35"/>
    </row>
    <row r="31" spans="1:20" x14ac:dyDescent="0.2">
      <c r="K31" s="35"/>
      <c r="P31" s="35"/>
      <c r="Q31" s="35"/>
      <c r="R31" s="35"/>
      <c r="S31" s="35"/>
      <c r="T31" s="35"/>
    </row>
    <row r="32" spans="1:20" x14ac:dyDescent="0.2">
      <c r="K32" s="35"/>
      <c r="P32" s="35"/>
      <c r="Q32" s="35"/>
      <c r="R32" s="35"/>
      <c r="S32" s="35"/>
      <c r="T32" s="35"/>
    </row>
    <row r="33" spans="11:20" x14ac:dyDescent="0.2">
      <c r="K33" s="35"/>
      <c r="P33" s="35"/>
      <c r="Q33" s="35"/>
      <c r="R33" s="35"/>
      <c r="S33" s="35"/>
      <c r="T33" s="35"/>
    </row>
    <row r="34" spans="11:20" x14ac:dyDescent="0.2">
      <c r="K34" s="35"/>
      <c r="P34" s="35"/>
      <c r="Q34" s="35"/>
      <c r="R34" s="35"/>
      <c r="S34" s="35"/>
      <c r="T34" s="35"/>
    </row>
    <row r="35" spans="11:20" x14ac:dyDescent="0.2">
      <c r="K35" s="35"/>
      <c r="P35" s="35"/>
      <c r="Q35" s="35"/>
      <c r="R35" s="35"/>
      <c r="S35" s="35"/>
      <c r="T35" s="35"/>
    </row>
    <row r="36" spans="11:20" x14ac:dyDescent="0.2">
      <c r="K36" s="44"/>
      <c r="P36" s="44"/>
      <c r="Q36" s="83"/>
      <c r="R36" s="44"/>
      <c r="S36" s="44"/>
    </row>
    <row r="37" spans="11:20" x14ac:dyDescent="0.2">
      <c r="K37" s="44"/>
      <c r="P37" s="44"/>
      <c r="Q37" s="44"/>
      <c r="R37" s="44"/>
      <c r="S37" s="44"/>
    </row>
    <row r="38" spans="11:20" x14ac:dyDescent="0.2">
      <c r="K38" s="44"/>
      <c r="P38" s="44"/>
      <c r="Q38" s="44"/>
      <c r="R38" s="44"/>
      <c r="S38" s="44"/>
    </row>
    <row r="39" spans="11:20" ht="15" x14ac:dyDescent="0.25">
      <c r="K39"/>
      <c r="P39" s="44"/>
      <c r="Q39" s="84"/>
      <c r="R39" s="44"/>
      <c r="S39" s="83"/>
    </row>
    <row r="40" spans="11:20" ht="15" x14ac:dyDescent="0.25">
      <c r="K40"/>
      <c r="P40" s="44"/>
      <c r="Q40" s="44"/>
      <c r="R40" s="44"/>
      <c r="S40" s="44"/>
    </row>
    <row r="41" spans="11:20" ht="15" x14ac:dyDescent="0.25">
      <c r="K41"/>
      <c r="P41" s="44"/>
      <c r="Q41" s="44"/>
      <c r="R41" s="44"/>
      <c r="S41" s="44"/>
    </row>
    <row r="42" spans="11:20" ht="15" x14ac:dyDescent="0.25">
      <c r="K42"/>
      <c r="L42" s="42"/>
      <c r="M42" s="85"/>
      <c r="N42" s="44"/>
      <c r="O42" s="83"/>
      <c r="P42" s="44"/>
      <c r="Q42" s="44"/>
      <c r="R42" s="44"/>
      <c r="S42" s="44"/>
    </row>
  </sheetData>
  <mergeCells count="1">
    <mergeCell ref="C10:D10"/>
  </mergeCells>
  <conditionalFormatting sqref="G7 E7:F8">
    <cfRule type="expression" dxfId="35" priority="3" stopIfTrue="1">
      <formula>IF($W$46=1,1,0)</formula>
    </cfRule>
  </conditionalFormatting>
  <conditionalFormatting sqref="H7">
    <cfRule type="expression" dxfId="34" priority="2" stopIfTrue="1">
      <formula>IF($W$46=1,1,0)</formula>
    </cfRule>
  </conditionalFormatting>
  <conditionalFormatting sqref="A26:J27">
    <cfRule type="expression" dxfId="33" priority="4">
      <formula>IF($C$25=3,1,0)</formula>
    </cfRule>
  </conditionalFormatting>
  <conditionalFormatting sqref="A28:J29">
    <cfRule type="expression" dxfId="32" priority="1">
      <formula>IF($C$25=8,1,0)</formula>
    </cfRule>
  </conditionalFormatting>
  <dataValidations count="1">
    <dataValidation type="list" allowBlank="1" showInputMessage="1" showErrorMessage="1" sqref="C10" xr:uid="{CBEB1213-3EB6-48C1-A729-77957E4F226F}">
      <formula1>$L$8:$L$23</formula1>
    </dataValidation>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C75CB-EC8F-46DC-B5CF-2E6287EFFBED}">
  <dimension ref="A1:N356"/>
  <sheetViews>
    <sheetView workbookViewId="0">
      <pane xSplit="2" ySplit="4" topLeftCell="C5" activePane="bottomRight" state="frozen"/>
      <selection activeCell="C10" sqref="C10:D10"/>
      <selection pane="topRight" activeCell="C10" sqref="C10:D10"/>
      <selection pane="bottomLeft" activeCell="C10" sqref="C10:D10"/>
      <selection pane="bottomRight" activeCell="F5" sqref="F5"/>
    </sheetView>
  </sheetViews>
  <sheetFormatPr defaultRowHeight="15" x14ac:dyDescent="0.25"/>
  <cols>
    <col min="1" max="2" width="30.28515625" bestFit="1" customWidth="1"/>
    <col min="3" max="3" width="20" bestFit="1" customWidth="1"/>
    <col min="4" max="4" width="14.28515625" customWidth="1"/>
    <col min="5" max="5" width="15.85546875" customWidth="1"/>
    <col min="6" max="6" width="14" customWidth="1"/>
    <col min="7" max="7" width="18.140625" customWidth="1"/>
    <col min="8" max="8" width="41" bestFit="1" customWidth="1"/>
    <col min="9" max="9" width="20.28515625" customWidth="1"/>
    <col min="10" max="11" width="12.5703125" customWidth="1"/>
    <col min="12" max="12" width="6.28515625" customWidth="1"/>
    <col min="13" max="13" width="12.5703125" customWidth="1"/>
    <col min="14" max="14" width="39.28515625" bestFit="1" customWidth="1"/>
    <col min="15" max="15" width="35.85546875" bestFit="1" customWidth="1"/>
    <col min="17" max="17" width="16.5703125" bestFit="1" customWidth="1"/>
  </cols>
  <sheetData>
    <row r="1" spans="1:14" x14ac:dyDescent="0.25">
      <c r="A1" s="136" t="s">
        <v>6</v>
      </c>
      <c r="B1" s="137"/>
      <c r="C1" s="137"/>
      <c r="D1" s="142"/>
      <c r="E1" s="142"/>
      <c r="F1" s="142"/>
    </row>
    <row r="2" spans="1:14" x14ac:dyDescent="0.25">
      <c r="A2" s="138"/>
      <c r="B2" s="139"/>
      <c r="C2" s="139"/>
      <c r="D2" s="142"/>
      <c r="E2" s="142"/>
      <c r="F2" s="142"/>
    </row>
    <row r="3" spans="1:14" x14ac:dyDescent="0.25">
      <c r="A3" s="140"/>
      <c r="B3" s="141"/>
      <c r="C3" s="141"/>
      <c r="D3" s="154" t="s">
        <v>160</v>
      </c>
      <c r="E3" s="154" t="s">
        <v>162</v>
      </c>
      <c r="F3" s="154" t="s">
        <v>160</v>
      </c>
      <c r="G3" s="154" t="s">
        <v>162</v>
      </c>
    </row>
    <row r="4" spans="1:14" x14ac:dyDescent="0.25">
      <c r="A4" s="3" t="s">
        <v>0</v>
      </c>
      <c r="B4" s="3" t="s">
        <v>4</v>
      </c>
      <c r="C4" s="3"/>
      <c r="D4" s="155" t="s">
        <v>209</v>
      </c>
      <c r="E4" s="155" t="s">
        <v>209</v>
      </c>
      <c r="F4" s="26" t="s">
        <v>158</v>
      </c>
      <c r="G4" s="26" t="s">
        <v>158</v>
      </c>
      <c r="K4" t="s">
        <v>276</v>
      </c>
      <c r="L4" t="s">
        <v>277</v>
      </c>
      <c r="N4" s="143" t="s">
        <v>0</v>
      </c>
    </row>
    <row r="5" spans="1:14" x14ac:dyDescent="0.25">
      <c r="A5" s="16" t="s">
        <v>24</v>
      </c>
      <c r="B5" s="12">
        <v>10</v>
      </c>
      <c r="C5" s="150" t="str">
        <f>A5&amp;" "&amp;B5</f>
        <v>SlimFix RenoTwin 10</v>
      </c>
      <c r="D5" s="8">
        <f>CEILING('SlimFix RenoTwin'!$D$30*'SlimFix RenoTwin'!$J$40/1000,1)</f>
        <v>0</v>
      </c>
      <c r="E5" s="8">
        <f>CEILING('SlimFix RenoTwin'!$D$47*'SlimFix RenoTwin'!$J$53/1000,1)</f>
        <v>0</v>
      </c>
      <c r="F5" s="8">
        <f>((D5*'SlimFix RenoTwin'!$D$33))*3</f>
        <v>0</v>
      </c>
      <c r="G5" s="8">
        <f>((E5*'SlimFix RenoTwin'!D49))*3</f>
        <v>0</v>
      </c>
      <c r="H5" t="s">
        <v>219</v>
      </c>
      <c r="I5" t="s">
        <v>216</v>
      </c>
      <c r="K5" t="s">
        <v>297</v>
      </c>
      <c r="L5" t="s">
        <v>240</v>
      </c>
      <c r="N5" s="170" t="str">
        <f>'SlimFix RenoTwin'!D11&amp;" "&amp;'SlimFix RenoTwin'!J11</f>
        <v xml:space="preserve">SlimFix RenoTwin </v>
      </c>
    </row>
    <row r="6" spans="1:14" x14ac:dyDescent="0.25">
      <c r="A6" s="1" t="s">
        <v>24</v>
      </c>
      <c r="B6" s="169">
        <v>3.5</v>
      </c>
      <c r="C6" s="150" t="str">
        <f t="shared" ref="C6:C15" si="0">A6&amp;" "&amp;B6</f>
        <v>SlimFix RenoTwin 3,5</v>
      </c>
      <c r="D6" s="152"/>
      <c r="E6" s="152"/>
      <c r="F6" s="152"/>
      <c r="H6" t="s">
        <v>219</v>
      </c>
      <c r="I6" t="s">
        <v>216</v>
      </c>
      <c r="K6" t="s">
        <v>293</v>
      </c>
      <c r="L6" t="s">
        <v>234</v>
      </c>
    </row>
    <row r="7" spans="1:14" x14ac:dyDescent="0.25">
      <c r="A7" s="1" t="s">
        <v>24</v>
      </c>
      <c r="B7" s="169">
        <v>4</v>
      </c>
      <c r="C7" s="150" t="str">
        <f t="shared" si="0"/>
        <v>SlimFix RenoTwin 4</v>
      </c>
      <c r="D7" s="152"/>
      <c r="E7" s="152"/>
      <c r="F7" s="152"/>
      <c r="H7" t="s">
        <v>220</v>
      </c>
      <c r="I7" t="s">
        <v>217</v>
      </c>
      <c r="K7" t="s">
        <v>294</v>
      </c>
      <c r="L7" t="s">
        <v>236</v>
      </c>
    </row>
    <row r="8" spans="1:14" x14ac:dyDescent="0.25">
      <c r="A8" s="1" t="s">
        <v>24</v>
      </c>
      <c r="B8" s="12">
        <v>4.5</v>
      </c>
      <c r="C8" s="150" t="str">
        <f t="shared" si="0"/>
        <v>SlimFix RenoTwin 4,5</v>
      </c>
      <c r="D8" s="152"/>
      <c r="E8" s="152"/>
      <c r="F8" s="152"/>
      <c r="H8" t="s">
        <v>220</v>
      </c>
      <c r="I8" t="s">
        <v>217</v>
      </c>
      <c r="K8" t="s">
        <v>295</v>
      </c>
      <c r="L8" t="s">
        <v>237</v>
      </c>
    </row>
    <row r="9" spans="1:14" x14ac:dyDescent="0.25">
      <c r="A9" s="1" t="s">
        <v>24</v>
      </c>
      <c r="B9" s="169">
        <v>5</v>
      </c>
      <c r="C9" s="150" t="str">
        <f t="shared" si="0"/>
        <v>SlimFix RenoTwin 5</v>
      </c>
      <c r="D9" s="152"/>
      <c r="E9" s="152"/>
      <c r="F9" s="152"/>
      <c r="H9" t="s">
        <v>221</v>
      </c>
      <c r="I9" t="s">
        <v>218</v>
      </c>
      <c r="K9" t="s">
        <v>295</v>
      </c>
      <c r="L9" t="s">
        <v>237</v>
      </c>
    </row>
    <row r="10" spans="1:14" x14ac:dyDescent="0.25">
      <c r="A10" s="1" t="s">
        <v>24</v>
      </c>
      <c r="B10" s="12">
        <v>5.5</v>
      </c>
      <c r="C10" s="150" t="str">
        <f t="shared" si="0"/>
        <v>SlimFix RenoTwin 5,5</v>
      </c>
      <c r="D10" s="152"/>
      <c r="E10" s="152"/>
      <c r="F10" s="152"/>
      <c r="H10" t="s">
        <v>221</v>
      </c>
      <c r="I10" t="s">
        <v>218</v>
      </c>
      <c r="K10" t="s">
        <v>296</v>
      </c>
      <c r="L10" t="s">
        <v>238</v>
      </c>
    </row>
    <row r="11" spans="1:14" x14ac:dyDescent="0.25">
      <c r="A11" s="1" t="s">
        <v>24</v>
      </c>
      <c r="B11" s="12">
        <v>6.3</v>
      </c>
      <c r="C11" s="150" t="str">
        <f t="shared" si="0"/>
        <v>SlimFix RenoTwin 6,3</v>
      </c>
      <c r="D11" s="152"/>
      <c r="E11" s="152"/>
      <c r="F11" s="152"/>
      <c r="H11" t="s">
        <v>221</v>
      </c>
      <c r="I11" t="s">
        <v>218</v>
      </c>
      <c r="K11" t="s">
        <v>296</v>
      </c>
      <c r="L11" t="s">
        <v>238</v>
      </c>
    </row>
    <row r="12" spans="1:14" x14ac:dyDescent="0.25">
      <c r="A12" s="1" t="s">
        <v>24</v>
      </c>
      <c r="B12" s="12">
        <v>6.7</v>
      </c>
      <c r="C12" s="150" t="str">
        <f t="shared" si="0"/>
        <v>SlimFix RenoTwin 6,7</v>
      </c>
      <c r="D12" s="152"/>
      <c r="E12" s="152"/>
      <c r="F12" s="152"/>
      <c r="H12" t="s">
        <v>221</v>
      </c>
      <c r="I12" t="s">
        <v>218</v>
      </c>
      <c r="K12" t="s">
        <v>298</v>
      </c>
      <c r="L12" t="s">
        <v>239</v>
      </c>
    </row>
    <row r="13" spans="1:14" x14ac:dyDescent="0.25">
      <c r="A13" s="1" t="s">
        <v>24</v>
      </c>
      <c r="B13" s="12">
        <v>7</v>
      </c>
      <c r="C13" s="150" t="str">
        <f t="shared" si="0"/>
        <v>SlimFix RenoTwin 7</v>
      </c>
      <c r="D13" s="152"/>
      <c r="E13" s="152"/>
      <c r="F13" s="152"/>
      <c r="H13" t="s">
        <v>221</v>
      </c>
      <c r="I13" t="s">
        <v>218</v>
      </c>
      <c r="K13" t="s">
        <v>298</v>
      </c>
      <c r="L13" t="s">
        <v>239</v>
      </c>
    </row>
    <row r="14" spans="1:14" x14ac:dyDescent="0.25">
      <c r="A14" s="1" t="s">
        <v>24</v>
      </c>
      <c r="B14" s="12">
        <v>8</v>
      </c>
      <c r="C14" s="150" t="str">
        <f t="shared" si="0"/>
        <v>SlimFix RenoTwin 8</v>
      </c>
      <c r="D14" s="152"/>
      <c r="E14" s="152"/>
      <c r="F14" s="152"/>
      <c r="H14" t="s">
        <v>221</v>
      </c>
      <c r="I14" t="s">
        <v>218</v>
      </c>
      <c r="K14" t="s">
        <v>299</v>
      </c>
      <c r="L14" t="s">
        <v>230</v>
      </c>
    </row>
    <row r="15" spans="1:14" x14ac:dyDescent="0.25">
      <c r="A15" s="1" t="s">
        <v>24</v>
      </c>
      <c r="B15" s="12">
        <v>9</v>
      </c>
      <c r="C15" s="150" t="str">
        <f t="shared" si="0"/>
        <v>SlimFix RenoTwin 9</v>
      </c>
      <c r="D15" s="152"/>
      <c r="E15" s="152"/>
      <c r="F15" s="152"/>
      <c r="H15" t="s">
        <v>221</v>
      </c>
      <c r="I15" t="s">
        <v>218</v>
      </c>
      <c r="K15" t="s">
        <v>300</v>
      </c>
      <c r="L15" t="s">
        <v>232</v>
      </c>
    </row>
    <row r="18" spans="1:13" x14ac:dyDescent="0.25">
      <c r="A18" s="230" t="s">
        <v>222</v>
      </c>
      <c r="B18" s="231"/>
      <c r="C18" s="231"/>
      <c r="D18" s="231"/>
      <c r="E18" s="231"/>
      <c r="F18" s="231"/>
      <c r="G18" s="231"/>
      <c r="H18" s="231"/>
      <c r="I18" s="231"/>
      <c r="J18" s="231"/>
      <c r="K18" s="231"/>
      <c r="L18" s="172"/>
    </row>
    <row r="19" spans="1:13" x14ac:dyDescent="0.25">
      <c r="A19" s="231"/>
      <c r="B19" s="231"/>
      <c r="C19" s="231"/>
      <c r="D19" s="231"/>
      <c r="E19" s="231"/>
      <c r="F19" s="231"/>
      <c r="G19" s="231"/>
      <c r="H19" s="231"/>
      <c r="I19" s="231"/>
      <c r="J19" s="231"/>
      <c r="K19" s="231"/>
      <c r="L19" s="172"/>
    </row>
    <row r="20" spans="1:13" x14ac:dyDescent="0.25">
      <c r="A20" s="231"/>
      <c r="B20" s="231"/>
      <c r="C20" s="231"/>
      <c r="D20" s="231"/>
      <c r="E20" s="231"/>
      <c r="F20" s="231"/>
      <c r="G20" s="231"/>
      <c r="H20" s="231"/>
      <c r="I20" s="231"/>
      <c r="J20" s="231"/>
      <c r="K20" s="231"/>
      <c r="L20" s="172"/>
    </row>
    <row r="21" spans="1:13" x14ac:dyDescent="0.25">
      <c r="A21" s="231"/>
      <c r="B21" s="231"/>
      <c r="C21" s="231"/>
      <c r="D21" s="231"/>
      <c r="E21" s="231"/>
      <c r="F21" s="231"/>
      <c r="G21" s="231"/>
      <c r="H21" s="231"/>
      <c r="I21" s="231"/>
      <c r="J21" s="231"/>
      <c r="K21" s="231"/>
      <c r="L21" s="172"/>
    </row>
    <row r="22" spans="1:13" x14ac:dyDescent="0.25">
      <c r="A22" s="231"/>
      <c r="B22" s="231"/>
      <c r="C22" s="231"/>
      <c r="D22" s="231"/>
      <c r="E22" s="231"/>
      <c r="F22" s="231"/>
      <c r="G22" s="231"/>
      <c r="H22" s="231"/>
      <c r="I22" s="231"/>
      <c r="J22" s="231"/>
      <c r="K22" s="231"/>
      <c r="L22" s="172"/>
    </row>
    <row r="26" spans="1:13" x14ac:dyDescent="0.25">
      <c r="A26" s="93" t="s">
        <v>0</v>
      </c>
      <c r="B26" s="93"/>
      <c r="C26" s="93" t="s">
        <v>223</v>
      </c>
      <c r="D26" s="93" t="s">
        <v>224</v>
      </c>
      <c r="E26" s="93" t="s">
        <v>27</v>
      </c>
      <c r="G26" s="93" t="s">
        <v>223</v>
      </c>
      <c r="H26" s="93" t="s">
        <v>226</v>
      </c>
      <c r="J26" s="3" t="s">
        <v>27</v>
      </c>
      <c r="K26" s="3" t="s">
        <v>225</v>
      </c>
      <c r="L26" s="3"/>
      <c r="M26" s="3"/>
    </row>
    <row r="27" spans="1:13" x14ac:dyDescent="0.25">
      <c r="A27" s="165" t="s">
        <v>263</v>
      </c>
      <c r="B27" t="str">
        <f t="shared" ref="B27:B58" si="1">CONCATENATE(A27&amp;C27&amp;D27)</f>
        <v>SlimFix RenoTwin 10022</v>
      </c>
      <c r="C27">
        <v>0</v>
      </c>
      <c r="D27">
        <v>22</v>
      </c>
      <c r="E27" s="166" t="s">
        <v>28</v>
      </c>
      <c r="G27" t="s">
        <v>227</v>
      </c>
      <c r="H27" t="s">
        <v>227</v>
      </c>
      <c r="J27" s="167" t="s">
        <v>228</v>
      </c>
      <c r="K27" s="1" t="s">
        <v>229</v>
      </c>
      <c r="L27" s="1">
        <v>50</v>
      </c>
      <c r="M27" s="1"/>
    </row>
    <row r="28" spans="1:13" x14ac:dyDescent="0.25">
      <c r="A28" s="165" t="s">
        <v>263</v>
      </c>
      <c r="B28" t="str">
        <f t="shared" si="1"/>
        <v>SlimFix RenoTwin 10040</v>
      </c>
      <c r="C28">
        <v>0</v>
      </c>
      <c r="D28">
        <v>40</v>
      </c>
      <c r="E28" s="166" t="s">
        <v>230</v>
      </c>
      <c r="G28">
        <v>0</v>
      </c>
      <c r="H28">
        <v>22</v>
      </c>
      <c r="J28" s="167" t="s">
        <v>231</v>
      </c>
      <c r="K28" s="1" t="s">
        <v>229</v>
      </c>
      <c r="L28" s="1">
        <v>50</v>
      </c>
      <c r="M28" s="1"/>
    </row>
    <row r="29" spans="1:13" x14ac:dyDescent="0.25">
      <c r="A29" s="165" t="s">
        <v>263</v>
      </c>
      <c r="B29" t="str">
        <f t="shared" si="1"/>
        <v>SlimFix RenoTwin 10050</v>
      </c>
      <c r="C29">
        <v>0</v>
      </c>
      <c r="D29">
        <v>50</v>
      </c>
      <c r="E29" s="166" t="s">
        <v>232</v>
      </c>
      <c r="G29">
        <v>20</v>
      </c>
      <c r="H29">
        <v>40</v>
      </c>
      <c r="J29" s="167" t="s">
        <v>234</v>
      </c>
      <c r="K29" s="1" t="s">
        <v>229</v>
      </c>
      <c r="L29" s="1">
        <v>50</v>
      </c>
      <c r="M29" s="1"/>
    </row>
    <row r="30" spans="1:13" x14ac:dyDescent="0.25">
      <c r="A30" s="165" t="s">
        <v>263</v>
      </c>
      <c r="B30" t="str">
        <f t="shared" si="1"/>
        <v>SlimFix RenoTwin 10060</v>
      </c>
      <c r="C30">
        <v>0</v>
      </c>
      <c r="D30">
        <v>60</v>
      </c>
      <c r="E30" s="166" t="s">
        <v>232</v>
      </c>
      <c r="G30">
        <v>30</v>
      </c>
      <c r="H30">
        <v>50</v>
      </c>
      <c r="J30" s="167" t="s">
        <v>235</v>
      </c>
      <c r="K30" s="1" t="s">
        <v>229</v>
      </c>
      <c r="L30" s="1">
        <v>50</v>
      </c>
      <c r="M30" s="1"/>
    </row>
    <row r="31" spans="1:13" x14ac:dyDescent="0.25">
      <c r="A31" s="165" t="s">
        <v>263</v>
      </c>
      <c r="B31" t="str">
        <f t="shared" si="1"/>
        <v>SlimFix RenoTwin 10070</v>
      </c>
      <c r="C31">
        <v>0</v>
      </c>
      <c r="D31">
        <v>70</v>
      </c>
      <c r="E31" s="166" t="s">
        <v>232</v>
      </c>
      <c r="H31">
        <v>60</v>
      </c>
      <c r="J31" s="167" t="s">
        <v>236</v>
      </c>
      <c r="K31" s="1" t="s">
        <v>229</v>
      </c>
      <c r="L31" s="1">
        <v>50</v>
      </c>
      <c r="M31" s="1"/>
    </row>
    <row r="32" spans="1:13" x14ac:dyDescent="0.25">
      <c r="A32" s="165" t="s">
        <v>263</v>
      </c>
      <c r="B32" t="str">
        <f t="shared" si="1"/>
        <v>SlimFix RenoTwin 102022</v>
      </c>
      <c r="C32">
        <v>20</v>
      </c>
      <c r="D32">
        <v>22</v>
      </c>
      <c r="E32" s="166" t="s">
        <v>232</v>
      </c>
      <c r="H32">
        <v>70</v>
      </c>
      <c r="J32" s="167" t="s">
        <v>237</v>
      </c>
      <c r="K32" s="1" t="s">
        <v>229</v>
      </c>
      <c r="L32" s="1">
        <v>50</v>
      </c>
      <c r="M32" s="1"/>
    </row>
    <row r="33" spans="1:13" x14ac:dyDescent="0.25">
      <c r="A33" s="165" t="s">
        <v>263</v>
      </c>
      <c r="B33" t="str">
        <f t="shared" si="1"/>
        <v>SlimFix RenoTwin 102040</v>
      </c>
      <c r="C33">
        <v>20</v>
      </c>
      <c r="D33">
        <v>40</v>
      </c>
      <c r="E33" s="166" t="s">
        <v>232</v>
      </c>
      <c r="G33" t="s">
        <v>227</v>
      </c>
      <c r="J33" s="167" t="s">
        <v>238</v>
      </c>
      <c r="K33" s="1" t="s">
        <v>229</v>
      </c>
      <c r="L33" s="1">
        <v>50</v>
      </c>
      <c r="M33" s="1"/>
    </row>
    <row r="34" spans="1:13" x14ac:dyDescent="0.25">
      <c r="A34" s="165" t="s">
        <v>263</v>
      </c>
      <c r="B34" t="str">
        <f t="shared" si="1"/>
        <v>SlimFix RenoTwin 102050</v>
      </c>
      <c r="C34">
        <v>20</v>
      </c>
      <c r="D34">
        <v>50</v>
      </c>
      <c r="E34" s="166" t="s">
        <v>232</v>
      </c>
      <c r="G34" t="s">
        <v>289</v>
      </c>
      <c r="J34" s="167" t="s">
        <v>239</v>
      </c>
      <c r="K34" s="1" t="s">
        <v>229</v>
      </c>
      <c r="L34" s="1">
        <v>50</v>
      </c>
      <c r="M34" s="1"/>
    </row>
    <row r="35" spans="1:13" x14ac:dyDescent="0.25">
      <c r="A35" s="165" t="s">
        <v>263</v>
      </c>
      <c r="B35" t="str">
        <f t="shared" si="1"/>
        <v>SlimFix RenoTwin 102060</v>
      </c>
      <c r="C35">
        <v>20</v>
      </c>
      <c r="D35">
        <v>60</v>
      </c>
      <c r="E35" s="166" t="s">
        <v>232</v>
      </c>
      <c r="G35" t="s">
        <v>290</v>
      </c>
      <c r="J35" s="167" t="s">
        <v>230</v>
      </c>
      <c r="K35" s="1" t="s">
        <v>229</v>
      </c>
      <c r="L35" s="1">
        <v>50</v>
      </c>
      <c r="M35" s="1"/>
    </row>
    <row r="36" spans="1:13" x14ac:dyDescent="0.25">
      <c r="A36" s="165" t="s">
        <v>263</v>
      </c>
      <c r="B36" t="str">
        <f t="shared" si="1"/>
        <v>SlimFix RenoTwin 102070</v>
      </c>
      <c r="C36">
        <v>20</v>
      </c>
      <c r="D36">
        <v>70</v>
      </c>
      <c r="E36" s="166" t="s">
        <v>240</v>
      </c>
      <c r="J36" s="167" t="s">
        <v>232</v>
      </c>
      <c r="K36" s="1" t="s">
        <v>233</v>
      </c>
      <c r="L36" s="1">
        <v>25</v>
      </c>
      <c r="M36" s="1"/>
    </row>
    <row r="37" spans="1:13" x14ac:dyDescent="0.25">
      <c r="A37" s="165" t="s">
        <v>263</v>
      </c>
      <c r="B37" t="str">
        <f t="shared" si="1"/>
        <v>SlimFix RenoTwin 103022</v>
      </c>
      <c r="C37">
        <v>30</v>
      </c>
      <c r="D37">
        <v>22</v>
      </c>
      <c r="E37" s="166" t="s">
        <v>232</v>
      </c>
      <c r="J37" s="167" t="s">
        <v>240</v>
      </c>
      <c r="K37" s="1" t="s">
        <v>233</v>
      </c>
      <c r="L37" s="1">
        <v>25</v>
      </c>
      <c r="M37" s="1"/>
    </row>
    <row r="38" spans="1:13" x14ac:dyDescent="0.25">
      <c r="A38" s="165" t="s">
        <v>263</v>
      </c>
      <c r="B38" t="str">
        <f t="shared" si="1"/>
        <v>SlimFix RenoTwin 103040</v>
      </c>
      <c r="C38">
        <v>30</v>
      </c>
      <c r="D38">
        <v>40</v>
      </c>
      <c r="E38" s="166" t="s">
        <v>232</v>
      </c>
      <c r="J38" s="167" t="s">
        <v>28</v>
      </c>
      <c r="K38" s="1"/>
      <c r="L38" s="1"/>
      <c r="M38" s="1"/>
    </row>
    <row r="39" spans="1:13" x14ac:dyDescent="0.25">
      <c r="A39" s="165" t="s">
        <v>263</v>
      </c>
      <c r="B39" t="str">
        <f t="shared" si="1"/>
        <v>SlimFix RenoTwin 103050</v>
      </c>
      <c r="C39">
        <v>30</v>
      </c>
      <c r="D39">
        <v>50</v>
      </c>
      <c r="E39" s="166" t="s">
        <v>232</v>
      </c>
    </row>
    <row r="40" spans="1:13" x14ac:dyDescent="0.25">
      <c r="A40" s="165" t="s">
        <v>263</v>
      </c>
      <c r="B40" t="str">
        <f t="shared" si="1"/>
        <v>SlimFix RenoTwin 103060</v>
      </c>
      <c r="C40">
        <v>30</v>
      </c>
      <c r="D40">
        <v>60</v>
      </c>
      <c r="E40" s="166" t="s">
        <v>240</v>
      </c>
    </row>
    <row r="41" spans="1:13" x14ac:dyDescent="0.25">
      <c r="A41" s="165" t="s">
        <v>263</v>
      </c>
      <c r="B41" t="str">
        <f t="shared" si="1"/>
        <v>SlimFix RenoTwin 103070</v>
      </c>
      <c r="C41">
        <v>30</v>
      </c>
      <c r="D41">
        <v>70</v>
      </c>
      <c r="E41" s="166" t="s">
        <v>240</v>
      </c>
      <c r="I41" t="s">
        <v>160</v>
      </c>
    </row>
    <row r="42" spans="1:13" x14ac:dyDescent="0.25">
      <c r="A42" s="165" t="s">
        <v>255</v>
      </c>
      <c r="B42" t="str">
        <f t="shared" si="1"/>
        <v>SlimFix RenoTwin 3,5022</v>
      </c>
      <c r="C42">
        <v>0</v>
      </c>
      <c r="D42">
        <v>22</v>
      </c>
      <c r="E42" s="166" t="s">
        <v>28</v>
      </c>
      <c r="I42" s="164" t="str">
        <f>'SlimFix RenoTwin'!D38</f>
        <v>_kies</v>
      </c>
      <c r="J42" s="17">
        <v>0</v>
      </c>
      <c r="K42" s="17">
        <v>20</v>
      </c>
      <c r="L42" s="17">
        <v>30</v>
      </c>
    </row>
    <row r="43" spans="1:13" x14ac:dyDescent="0.25">
      <c r="A43" s="165" t="s">
        <v>255</v>
      </c>
      <c r="B43" t="str">
        <f t="shared" si="1"/>
        <v>SlimFix RenoTwin 3,5040</v>
      </c>
      <c r="C43">
        <v>0</v>
      </c>
      <c r="D43">
        <v>40</v>
      </c>
      <c r="E43" s="166" t="s">
        <v>228</v>
      </c>
      <c r="I43" t="s">
        <v>227</v>
      </c>
    </row>
    <row r="44" spans="1:13" x14ac:dyDescent="0.25">
      <c r="A44" s="165" t="s">
        <v>255</v>
      </c>
      <c r="B44" t="str">
        <f t="shared" si="1"/>
        <v>SlimFix RenoTwin 3,5050</v>
      </c>
      <c r="C44">
        <v>0</v>
      </c>
      <c r="D44">
        <v>50</v>
      </c>
      <c r="E44" s="166" t="s">
        <v>228</v>
      </c>
      <c r="I44" t="e">
        <f>IF(HLOOKUP($I$42,$J$42:$L$48,3)&gt;0,HLOOKUP($I$42,$J$42:$L$48,3)," ")</f>
        <v>#N/A</v>
      </c>
      <c r="J44">
        <v>40</v>
      </c>
      <c r="K44">
        <v>22</v>
      </c>
      <c r="L44">
        <v>22</v>
      </c>
    </row>
    <row r="45" spans="1:13" x14ac:dyDescent="0.25">
      <c r="A45" s="165" t="s">
        <v>255</v>
      </c>
      <c r="B45" t="str">
        <f t="shared" si="1"/>
        <v>SlimFix RenoTwin 3,5060</v>
      </c>
      <c r="C45">
        <v>0</v>
      </c>
      <c r="D45">
        <v>60</v>
      </c>
      <c r="E45" s="166" t="s">
        <v>231</v>
      </c>
      <c r="I45" t="e">
        <f>IF(HLOOKUP($I$42,$J$42:$L$48,4)&gt;0,HLOOKUP($I$42,$J$42:$L$48,4)," ")</f>
        <v>#N/A</v>
      </c>
      <c r="J45">
        <v>50</v>
      </c>
      <c r="K45">
        <v>40</v>
      </c>
      <c r="L45">
        <v>40</v>
      </c>
    </row>
    <row r="46" spans="1:13" x14ac:dyDescent="0.25">
      <c r="A46" s="165" t="s">
        <v>255</v>
      </c>
      <c r="B46" t="str">
        <f t="shared" si="1"/>
        <v>SlimFix RenoTwin 3,5070</v>
      </c>
      <c r="C46">
        <v>0</v>
      </c>
      <c r="D46">
        <v>70</v>
      </c>
      <c r="E46" s="166" t="s">
        <v>231</v>
      </c>
      <c r="I46" t="e">
        <f>IF(HLOOKUP($I$42,$J$42:$L$48,5)&gt;0,HLOOKUP($I$42,$J$42:$L$48,5)," ")</f>
        <v>#N/A</v>
      </c>
      <c r="J46">
        <v>60</v>
      </c>
      <c r="K46">
        <v>50</v>
      </c>
      <c r="L46">
        <v>50</v>
      </c>
    </row>
    <row r="47" spans="1:13" x14ac:dyDescent="0.25">
      <c r="A47" s="165" t="s">
        <v>255</v>
      </c>
      <c r="B47" t="str">
        <f t="shared" si="1"/>
        <v>SlimFix RenoTwin 3,52022</v>
      </c>
      <c r="C47">
        <v>20</v>
      </c>
      <c r="D47">
        <v>22</v>
      </c>
      <c r="E47" s="166" t="s">
        <v>228</v>
      </c>
      <c r="I47" t="e">
        <f>IF(HLOOKUP($I$42,$J$42:$L$48,6)&gt;0,HLOOKUP($I$42,$J$42:$L$48,6)," ")</f>
        <v>#N/A</v>
      </c>
      <c r="J47">
        <v>70</v>
      </c>
      <c r="K47">
        <v>60</v>
      </c>
      <c r="L47">
        <v>60</v>
      </c>
    </row>
    <row r="48" spans="1:13" x14ac:dyDescent="0.25">
      <c r="A48" s="165" t="s">
        <v>255</v>
      </c>
      <c r="B48" t="str">
        <f t="shared" si="1"/>
        <v>SlimFix RenoTwin 3,52040</v>
      </c>
      <c r="C48">
        <v>20</v>
      </c>
      <c r="D48">
        <v>40</v>
      </c>
      <c r="E48" s="166" t="s">
        <v>231</v>
      </c>
      <c r="I48" t="e">
        <f>IF(HLOOKUP($I$42,$J$42:$L$48,7)&gt;0,HLOOKUP($I$42,$J$42:$L$48,7)," ")</f>
        <v>#N/A</v>
      </c>
      <c r="K48">
        <v>70</v>
      </c>
      <c r="L48">
        <v>70</v>
      </c>
    </row>
    <row r="49" spans="1:12" x14ac:dyDescent="0.25">
      <c r="A49" s="165" t="s">
        <v>255</v>
      </c>
      <c r="B49" t="str">
        <f t="shared" si="1"/>
        <v>SlimFix RenoTwin 3,52050</v>
      </c>
      <c r="C49">
        <v>20</v>
      </c>
      <c r="D49">
        <v>50</v>
      </c>
      <c r="E49" s="166" t="s">
        <v>231</v>
      </c>
      <c r="I49" t="s">
        <v>162</v>
      </c>
    </row>
    <row r="50" spans="1:12" x14ac:dyDescent="0.25">
      <c r="A50" s="165" t="s">
        <v>255</v>
      </c>
      <c r="B50" t="str">
        <f t="shared" si="1"/>
        <v>SlimFix RenoTwin 3,52060</v>
      </c>
      <c r="C50">
        <v>20</v>
      </c>
      <c r="D50">
        <v>60</v>
      </c>
      <c r="E50" s="166" t="s">
        <v>231</v>
      </c>
      <c r="I50" s="164" t="str">
        <f>'SlimFix RenoTwin'!D51</f>
        <v>_kies</v>
      </c>
      <c r="J50" s="17">
        <v>0</v>
      </c>
      <c r="K50" s="17">
        <v>20</v>
      </c>
      <c r="L50" s="17">
        <v>30</v>
      </c>
    </row>
    <row r="51" spans="1:12" x14ac:dyDescent="0.25">
      <c r="A51" s="165" t="s">
        <v>255</v>
      </c>
      <c r="B51" t="str">
        <f t="shared" si="1"/>
        <v>SlimFix RenoTwin 3,52070</v>
      </c>
      <c r="C51">
        <v>20</v>
      </c>
      <c r="D51">
        <v>70</v>
      </c>
      <c r="E51" s="166" t="s">
        <v>234</v>
      </c>
      <c r="I51" t="s">
        <v>227</v>
      </c>
    </row>
    <row r="52" spans="1:12" x14ac:dyDescent="0.25">
      <c r="A52" s="165" t="s">
        <v>255</v>
      </c>
      <c r="B52" t="str">
        <f t="shared" si="1"/>
        <v>SlimFix RenoTwin 3,53022</v>
      </c>
      <c r="C52">
        <v>30</v>
      </c>
      <c r="D52">
        <v>22</v>
      </c>
      <c r="E52" s="166" t="s">
        <v>231</v>
      </c>
      <c r="I52" t="e">
        <f>IF(HLOOKUP($I$50,$J$50:$L$56,3)&gt;0,HLOOKUP($I$50,$J$50:$L$56,3)," ")</f>
        <v>#N/A</v>
      </c>
      <c r="J52">
        <v>40</v>
      </c>
      <c r="K52">
        <v>22</v>
      </c>
      <c r="L52">
        <v>22</v>
      </c>
    </row>
    <row r="53" spans="1:12" x14ac:dyDescent="0.25">
      <c r="A53" s="165" t="s">
        <v>255</v>
      </c>
      <c r="B53" t="str">
        <f t="shared" si="1"/>
        <v>SlimFix RenoTwin 3,53040</v>
      </c>
      <c r="C53">
        <v>30</v>
      </c>
      <c r="D53">
        <v>40</v>
      </c>
      <c r="E53" s="166" t="s">
        <v>231</v>
      </c>
      <c r="I53" t="e">
        <f>IF(HLOOKUP($I$50,$J$50:$L$56,4)&gt;0,HLOOKUP($I$50,$J$50:$L$56,4)," ")</f>
        <v>#N/A</v>
      </c>
      <c r="J53">
        <v>50</v>
      </c>
      <c r="K53">
        <v>40</v>
      </c>
      <c r="L53">
        <v>40</v>
      </c>
    </row>
    <row r="54" spans="1:12" x14ac:dyDescent="0.25">
      <c r="A54" s="165" t="s">
        <v>255</v>
      </c>
      <c r="B54" t="str">
        <f t="shared" si="1"/>
        <v>SlimFix RenoTwin 3,53050</v>
      </c>
      <c r="C54">
        <v>30</v>
      </c>
      <c r="D54">
        <v>50</v>
      </c>
      <c r="E54" s="166" t="s">
        <v>231</v>
      </c>
      <c r="I54" t="e">
        <f>IF(HLOOKUP($I$50,$J$50:$L$56,5)&gt;0,HLOOKUP($I$50,$J$50:$L$56,5)," ")</f>
        <v>#N/A</v>
      </c>
      <c r="J54">
        <v>60</v>
      </c>
      <c r="K54">
        <v>50</v>
      </c>
      <c r="L54">
        <v>50</v>
      </c>
    </row>
    <row r="55" spans="1:12" x14ac:dyDescent="0.25">
      <c r="A55" s="165" t="s">
        <v>255</v>
      </c>
      <c r="B55" t="str">
        <f t="shared" si="1"/>
        <v>SlimFix RenoTwin 3,53060</v>
      </c>
      <c r="C55">
        <v>30</v>
      </c>
      <c r="D55">
        <v>60</v>
      </c>
      <c r="E55" s="166" t="s">
        <v>234</v>
      </c>
      <c r="I55" t="e">
        <f>IF(HLOOKUP($I$50,$J$50:$L$56,6)&gt;0,HLOOKUP($I$50,$J$50:$L$56,6)," ")</f>
        <v>#N/A</v>
      </c>
      <c r="J55">
        <v>70</v>
      </c>
      <c r="K55">
        <v>60</v>
      </c>
      <c r="L55">
        <v>60</v>
      </c>
    </row>
    <row r="56" spans="1:12" x14ac:dyDescent="0.25">
      <c r="A56" s="165" t="s">
        <v>255</v>
      </c>
      <c r="B56" t="str">
        <f t="shared" si="1"/>
        <v>SlimFix RenoTwin 3,53070</v>
      </c>
      <c r="C56">
        <v>30</v>
      </c>
      <c r="D56">
        <v>70</v>
      </c>
      <c r="E56" s="166" t="s">
        <v>234</v>
      </c>
      <c r="I56" t="e">
        <f>IF(HLOOKUP($I$50,$J$50:$L$56,7)&gt;0,HLOOKUP($I$50,$J$50:$L$56,7)," ")</f>
        <v>#N/A</v>
      </c>
      <c r="K56">
        <v>70</v>
      </c>
      <c r="L56">
        <v>70</v>
      </c>
    </row>
    <row r="57" spans="1:12" x14ac:dyDescent="0.25">
      <c r="A57" s="165" t="s">
        <v>256</v>
      </c>
      <c r="B57" t="str">
        <f t="shared" si="1"/>
        <v>SlimFix RenoTwin 4,5022</v>
      </c>
      <c r="C57">
        <v>0</v>
      </c>
      <c r="D57">
        <v>22</v>
      </c>
      <c r="E57" s="166" t="s">
        <v>28</v>
      </c>
    </row>
    <row r="58" spans="1:12" x14ac:dyDescent="0.25">
      <c r="A58" s="165" t="s">
        <v>256</v>
      </c>
      <c r="B58" t="str">
        <f t="shared" si="1"/>
        <v>SlimFix RenoTwin 4,5040</v>
      </c>
      <c r="C58">
        <v>0</v>
      </c>
      <c r="D58">
        <v>40</v>
      </c>
      <c r="E58" s="166" t="s">
        <v>231</v>
      </c>
    </row>
    <row r="59" spans="1:12" ht="23.25" customHeight="1" x14ac:dyDescent="0.25">
      <c r="A59" s="165" t="s">
        <v>256</v>
      </c>
      <c r="B59" t="str">
        <f t="shared" ref="B59:B90" si="2">CONCATENATE(A59&amp;C59&amp;D59)</f>
        <v>SlimFix RenoTwin 4,5050</v>
      </c>
      <c r="C59">
        <v>0</v>
      </c>
      <c r="D59">
        <v>50</v>
      </c>
      <c r="E59" s="166" t="s">
        <v>234</v>
      </c>
      <c r="I59" s="184" t="s">
        <v>275</v>
      </c>
      <c r="J59" s="179" t="s">
        <v>276</v>
      </c>
      <c r="K59" s="179" t="s">
        <v>277</v>
      </c>
    </row>
    <row r="60" spans="1:12" ht="17.25" x14ac:dyDescent="0.25">
      <c r="A60" s="165" t="s">
        <v>256</v>
      </c>
      <c r="B60" t="str">
        <f t="shared" si="2"/>
        <v>SlimFix RenoTwin 4,5060</v>
      </c>
      <c r="C60">
        <v>0</v>
      </c>
      <c r="D60">
        <v>60</v>
      </c>
      <c r="E60" s="166" t="s">
        <v>234</v>
      </c>
      <c r="I60" s="180" t="s">
        <v>278</v>
      </c>
      <c r="J60" s="181" t="s">
        <v>293</v>
      </c>
      <c r="K60" s="166">
        <v>235</v>
      </c>
    </row>
    <row r="61" spans="1:12" ht="17.25" x14ac:dyDescent="0.25">
      <c r="A61" s="165" t="s">
        <v>256</v>
      </c>
      <c r="B61" t="str">
        <f t="shared" si="2"/>
        <v>SlimFix RenoTwin 4,5070</v>
      </c>
      <c r="C61">
        <v>0</v>
      </c>
      <c r="D61">
        <v>70</v>
      </c>
      <c r="E61" s="166" t="s">
        <v>235</v>
      </c>
      <c r="I61" s="182" t="s">
        <v>279</v>
      </c>
      <c r="J61" s="183" t="s">
        <v>294</v>
      </c>
      <c r="K61" s="168">
        <v>275</v>
      </c>
    </row>
    <row r="62" spans="1:12" ht="17.25" x14ac:dyDescent="0.25">
      <c r="A62" s="165" t="s">
        <v>256</v>
      </c>
      <c r="B62" t="str">
        <f t="shared" si="2"/>
        <v>SlimFix RenoTwin 4,52022</v>
      </c>
      <c r="C62">
        <v>20</v>
      </c>
      <c r="D62">
        <v>22</v>
      </c>
      <c r="E62" s="166" t="s">
        <v>231</v>
      </c>
      <c r="I62" s="180" t="s">
        <v>280</v>
      </c>
      <c r="J62" s="181" t="s">
        <v>295</v>
      </c>
      <c r="K62" s="166">
        <v>302</v>
      </c>
    </row>
    <row r="63" spans="1:12" ht="17.25" x14ac:dyDescent="0.25">
      <c r="A63" s="165" t="s">
        <v>256</v>
      </c>
      <c r="B63" t="str">
        <f t="shared" si="2"/>
        <v>SlimFix RenoTwin 4,52040</v>
      </c>
      <c r="C63">
        <v>20</v>
      </c>
      <c r="D63">
        <v>40</v>
      </c>
      <c r="E63" s="166" t="s">
        <v>234</v>
      </c>
      <c r="I63" s="182" t="s">
        <v>281</v>
      </c>
      <c r="J63" s="181" t="s">
        <v>295</v>
      </c>
      <c r="K63" s="168">
        <v>302</v>
      </c>
    </row>
    <row r="64" spans="1:12" ht="17.25" x14ac:dyDescent="0.25">
      <c r="A64" s="165" t="s">
        <v>256</v>
      </c>
      <c r="B64" t="str">
        <f t="shared" si="2"/>
        <v>SlimFix RenoTwin 4,52050</v>
      </c>
      <c r="C64">
        <v>20</v>
      </c>
      <c r="D64">
        <v>50</v>
      </c>
      <c r="E64" s="166" t="s">
        <v>235</v>
      </c>
      <c r="I64" s="180" t="s">
        <v>282</v>
      </c>
      <c r="J64" s="181" t="s">
        <v>296</v>
      </c>
      <c r="K64" s="166">
        <v>335</v>
      </c>
    </row>
    <row r="65" spans="1:11" ht="17.25" x14ac:dyDescent="0.25">
      <c r="A65" s="165" t="s">
        <v>256</v>
      </c>
      <c r="B65" t="str">
        <f t="shared" si="2"/>
        <v>SlimFix RenoTwin 4,52060</v>
      </c>
      <c r="C65">
        <v>20</v>
      </c>
      <c r="D65">
        <v>60</v>
      </c>
      <c r="E65" s="166" t="s">
        <v>236</v>
      </c>
      <c r="I65" s="182" t="s">
        <v>283</v>
      </c>
      <c r="J65" s="183">
        <v>140</v>
      </c>
      <c r="K65" s="168">
        <v>335</v>
      </c>
    </row>
    <row r="66" spans="1:11" ht="17.25" x14ac:dyDescent="0.25">
      <c r="A66" s="165" t="s">
        <v>256</v>
      </c>
      <c r="B66" t="str">
        <f t="shared" si="2"/>
        <v>SlimFix RenoTwin 4,52070</v>
      </c>
      <c r="C66">
        <v>20</v>
      </c>
      <c r="D66">
        <v>70</v>
      </c>
      <c r="E66" s="166" t="s">
        <v>236</v>
      </c>
      <c r="I66" s="180" t="s">
        <v>284</v>
      </c>
      <c r="J66" s="181">
        <v>150</v>
      </c>
      <c r="K66" s="166">
        <v>365</v>
      </c>
    </row>
    <row r="67" spans="1:11" ht="17.25" x14ac:dyDescent="0.25">
      <c r="A67" s="165" t="s">
        <v>256</v>
      </c>
      <c r="B67" t="str">
        <f t="shared" si="2"/>
        <v>SlimFix RenoTwin 4,53022</v>
      </c>
      <c r="C67">
        <v>30</v>
      </c>
      <c r="D67">
        <v>22</v>
      </c>
      <c r="E67" s="166" t="s">
        <v>234</v>
      </c>
      <c r="I67" s="182" t="s">
        <v>285</v>
      </c>
      <c r="J67" s="183">
        <v>150</v>
      </c>
      <c r="K67" s="168">
        <v>365</v>
      </c>
    </row>
    <row r="68" spans="1:11" ht="17.25" x14ac:dyDescent="0.25">
      <c r="A68" s="165" t="s">
        <v>256</v>
      </c>
      <c r="B68" t="str">
        <f t="shared" si="2"/>
        <v>SlimFix RenoTwin 4,53040</v>
      </c>
      <c r="C68">
        <v>30</v>
      </c>
      <c r="D68">
        <v>40</v>
      </c>
      <c r="E68" s="166" t="s">
        <v>235</v>
      </c>
      <c r="I68" s="180" t="s">
        <v>286</v>
      </c>
      <c r="J68" s="181">
        <v>160</v>
      </c>
      <c r="K68" s="166">
        <v>397</v>
      </c>
    </row>
    <row r="69" spans="1:11" ht="17.25" x14ac:dyDescent="0.25">
      <c r="A69" s="165" t="s">
        <v>256</v>
      </c>
      <c r="B69" t="str">
        <f t="shared" si="2"/>
        <v>SlimFix RenoTwin 4,53050</v>
      </c>
      <c r="C69">
        <v>30</v>
      </c>
      <c r="D69">
        <v>50</v>
      </c>
      <c r="E69" s="166" t="s">
        <v>236</v>
      </c>
      <c r="I69" s="182" t="s">
        <v>287</v>
      </c>
      <c r="J69" s="183">
        <v>180</v>
      </c>
      <c r="K69" s="168">
        <v>435</v>
      </c>
    </row>
    <row r="70" spans="1:11" ht="17.25" x14ac:dyDescent="0.25">
      <c r="A70" s="165" t="s">
        <v>256</v>
      </c>
      <c r="B70" t="str">
        <f t="shared" si="2"/>
        <v>SlimFix RenoTwin 4,53060</v>
      </c>
      <c r="C70">
        <v>30</v>
      </c>
      <c r="D70">
        <v>60</v>
      </c>
      <c r="E70" s="166" t="s">
        <v>236</v>
      </c>
      <c r="I70" s="180" t="s">
        <v>288</v>
      </c>
      <c r="J70" s="181">
        <v>195</v>
      </c>
      <c r="K70" s="166">
        <v>472</v>
      </c>
    </row>
    <row r="71" spans="1:11" x14ac:dyDescent="0.25">
      <c r="A71" s="165" t="s">
        <v>256</v>
      </c>
      <c r="B71" t="str">
        <f t="shared" si="2"/>
        <v>SlimFix RenoTwin 4,53070</v>
      </c>
      <c r="C71">
        <v>30</v>
      </c>
      <c r="D71">
        <v>70</v>
      </c>
      <c r="E71" s="166" t="s">
        <v>237</v>
      </c>
    </row>
    <row r="72" spans="1:11" x14ac:dyDescent="0.25">
      <c r="A72" s="165" t="s">
        <v>264</v>
      </c>
      <c r="B72" t="str">
        <f t="shared" si="2"/>
        <v>SlimFix RenoTwin 4022</v>
      </c>
      <c r="C72">
        <v>0</v>
      </c>
      <c r="D72">
        <v>22</v>
      </c>
      <c r="E72" s="168" t="s">
        <v>28</v>
      </c>
    </row>
    <row r="73" spans="1:11" x14ac:dyDescent="0.25">
      <c r="A73" s="165" t="s">
        <v>264</v>
      </c>
      <c r="B73" t="str">
        <f t="shared" si="2"/>
        <v>SlimFix RenoTwin 4040</v>
      </c>
      <c r="C73">
        <v>0</v>
      </c>
      <c r="D73">
        <v>40</v>
      </c>
      <c r="E73" s="168" t="s">
        <v>231</v>
      </c>
    </row>
    <row r="74" spans="1:11" x14ac:dyDescent="0.25">
      <c r="A74" s="165" t="s">
        <v>264</v>
      </c>
      <c r="B74" t="str">
        <f t="shared" si="2"/>
        <v>SlimFix RenoTwin 4050</v>
      </c>
      <c r="C74">
        <v>0</v>
      </c>
      <c r="D74">
        <v>50</v>
      </c>
      <c r="E74" s="168" t="s">
        <v>231</v>
      </c>
    </row>
    <row r="75" spans="1:11" x14ac:dyDescent="0.25">
      <c r="A75" s="165" t="s">
        <v>264</v>
      </c>
      <c r="B75" t="str">
        <f t="shared" si="2"/>
        <v>SlimFix RenoTwin 4060</v>
      </c>
      <c r="C75">
        <v>0</v>
      </c>
      <c r="D75">
        <v>60</v>
      </c>
      <c r="E75" s="168" t="s">
        <v>231</v>
      </c>
    </row>
    <row r="76" spans="1:11" x14ac:dyDescent="0.25">
      <c r="A76" s="165" t="s">
        <v>264</v>
      </c>
      <c r="B76" t="str">
        <f t="shared" si="2"/>
        <v>SlimFix RenoTwin 4070</v>
      </c>
      <c r="C76">
        <v>0</v>
      </c>
      <c r="D76">
        <v>70</v>
      </c>
      <c r="E76" s="168" t="s">
        <v>234</v>
      </c>
    </row>
    <row r="77" spans="1:11" x14ac:dyDescent="0.25">
      <c r="A77" s="165" t="s">
        <v>264</v>
      </c>
      <c r="B77" t="str">
        <f t="shared" si="2"/>
        <v>SlimFix RenoTwin 42022</v>
      </c>
      <c r="C77">
        <v>20</v>
      </c>
      <c r="D77">
        <v>22</v>
      </c>
      <c r="E77" s="168" t="s">
        <v>231</v>
      </c>
    </row>
    <row r="78" spans="1:11" x14ac:dyDescent="0.25">
      <c r="A78" s="165" t="s">
        <v>264</v>
      </c>
      <c r="B78" t="str">
        <f t="shared" si="2"/>
        <v>SlimFix RenoTwin 42040</v>
      </c>
      <c r="C78">
        <v>20</v>
      </c>
      <c r="D78">
        <v>40</v>
      </c>
      <c r="E78" s="168" t="s">
        <v>231</v>
      </c>
    </row>
    <row r="79" spans="1:11" x14ac:dyDescent="0.25">
      <c r="A79" s="165" t="s">
        <v>264</v>
      </c>
      <c r="B79" t="str">
        <f t="shared" si="2"/>
        <v>SlimFix RenoTwin 42050</v>
      </c>
      <c r="C79">
        <v>20</v>
      </c>
      <c r="D79">
        <v>50</v>
      </c>
      <c r="E79" s="168" t="s">
        <v>234</v>
      </c>
    </row>
    <row r="80" spans="1:11" x14ac:dyDescent="0.25">
      <c r="A80" s="165" t="s">
        <v>264</v>
      </c>
      <c r="B80" t="str">
        <f t="shared" si="2"/>
        <v>SlimFix RenoTwin 42060</v>
      </c>
      <c r="C80">
        <v>20</v>
      </c>
      <c r="D80">
        <v>60</v>
      </c>
      <c r="E80" s="168" t="s">
        <v>235</v>
      </c>
    </row>
    <row r="81" spans="1:5" x14ac:dyDescent="0.25">
      <c r="A81" s="165" t="s">
        <v>264</v>
      </c>
      <c r="B81" t="str">
        <f t="shared" si="2"/>
        <v>SlimFix RenoTwin 42070</v>
      </c>
      <c r="C81">
        <v>20</v>
      </c>
      <c r="D81">
        <v>70</v>
      </c>
      <c r="E81" s="168" t="s">
        <v>235</v>
      </c>
    </row>
    <row r="82" spans="1:5" x14ac:dyDescent="0.25">
      <c r="A82" s="165" t="s">
        <v>264</v>
      </c>
      <c r="B82" t="str">
        <f t="shared" si="2"/>
        <v>SlimFix RenoTwin 43022</v>
      </c>
      <c r="C82">
        <v>30</v>
      </c>
      <c r="D82">
        <v>22</v>
      </c>
      <c r="E82" s="168" t="s">
        <v>231</v>
      </c>
    </row>
    <row r="83" spans="1:5" x14ac:dyDescent="0.25">
      <c r="A83" s="165" t="s">
        <v>264</v>
      </c>
      <c r="B83" t="str">
        <f t="shared" si="2"/>
        <v>SlimFix RenoTwin 43040</v>
      </c>
      <c r="C83">
        <v>30</v>
      </c>
      <c r="D83">
        <v>40</v>
      </c>
      <c r="E83" s="168" t="s">
        <v>234</v>
      </c>
    </row>
    <row r="84" spans="1:5" x14ac:dyDescent="0.25">
      <c r="A84" s="165" t="s">
        <v>264</v>
      </c>
      <c r="B84" t="str">
        <f t="shared" si="2"/>
        <v>SlimFix RenoTwin 43050</v>
      </c>
      <c r="C84">
        <v>30</v>
      </c>
      <c r="D84">
        <v>50</v>
      </c>
      <c r="E84" s="168" t="s">
        <v>235</v>
      </c>
    </row>
    <row r="85" spans="1:5" x14ac:dyDescent="0.25">
      <c r="A85" s="165" t="s">
        <v>264</v>
      </c>
      <c r="B85" t="str">
        <f t="shared" si="2"/>
        <v>SlimFix RenoTwin 43060</v>
      </c>
      <c r="C85">
        <v>30</v>
      </c>
      <c r="D85">
        <v>60</v>
      </c>
      <c r="E85" s="168" t="s">
        <v>235</v>
      </c>
    </row>
    <row r="86" spans="1:5" x14ac:dyDescent="0.25">
      <c r="A86" s="165" t="s">
        <v>264</v>
      </c>
      <c r="B86" t="str">
        <f t="shared" si="2"/>
        <v>SlimFix RenoTwin 43070</v>
      </c>
      <c r="C86">
        <v>30</v>
      </c>
      <c r="D86">
        <v>70</v>
      </c>
      <c r="E86" s="168" t="s">
        <v>236</v>
      </c>
    </row>
    <row r="87" spans="1:5" x14ac:dyDescent="0.25">
      <c r="A87" s="165" t="s">
        <v>257</v>
      </c>
      <c r="B87" t="str">
        <f t="shared" si="2"/>
        <v>SlimFix RenoTwin 5,5022</v>
      </c>
      <c r="C87">
        <v>0</v>
      </c>
      <c r="D87">
        <v>22</v>
      </c>
      <c r="E87" s="166" t="s">
        <v>28</v>
      </c>
    </row>
    <row r="88" spans="1:5" x14ac:dyDescent="0.25">
      <c r="A88" s="165" t="s">
        <v>257</v>
      </c>
      <c r="B88" t="str">
        <f t="shared" si="2"/>
        <v>SlimFix RenoTwin 5,5040</v>
      </c>
      <c r="C88">
        <v>0</v>
      </c>
      <c r="D88">
        <v>40</v>
      </c>
      <c r="E88" s="166" t="s">
        <v>235</v>
      </c>
    </row>
    <row r="89" spans="1:5" x14ac:dyDescent="0.25">
      <c r="A89" s="165" t="s">
        <v>257</v>
      </c>
      <c r="B89" t="str">
        <f t="shared" si="2"/>
        <v>SlimFix RenoTwin 5,5050</v>
      </c>
      <c r="C89">
        <v>0</v>
      </c>
      <c r="D89">
        <v>50</v>
      </c>
      <c r="E89" s="166" t="s">
        <v>235</v>
      </c>
    </row>
    <row r="90" spans="1:5" x14ac:dyDescent="0.25">
      <c r="A90" s="165" t="s">
        <v>257</v>
      </c>
      <c r="B90" t="str">
        <f t="shared" si="2"/>
        <v>SlimFix RenoTwin 5,5060</v>
      </c>
      <c r="C90">
        <v>0</v>
      </c>
      <c r="D90">
        <v>60</v>
      </c>
      <c r="E90" s="166" t="s">
        <v>236</v>
      </c>
    </row>
    <row r="91" spans="1:5" x14ac:dyDescent="0.25">
      <c r="A91" s="165" t="s">
        <v>257</v>
      </c>
      <c r="B91" t="str">
        <f t="shared" ref="B91:B122" si="3">CONCATENATE(A91&amp;C91&amp;D91)</f>
        <v>SlimFix RenoTwin 5,5070</v>
      </c>
      <c r="C91">
        <v>0</v>
      </c>
      <c r="D91">
        <v>70</v>
      </c>
      <c r="E91" s="166" t="s">
        <v>236</v>
      </c>
    </row>
    <row r="92" spans="1:5" x14ac:dyDescent="0.25">
      <c r="A92" s="165" t="s">
        <v>257</v>
      </c>
      <c r="B92" t="str">
        <f t="shared" si="3"/>
        <v>SlimFix RenoTwin 5,52022</v>
      </c>
      <c r="C92">
        <v>20</v>
      </c>
      <c r="D92">
        <v>22</v>
      </c>
      <c r="E92" s="166" t="s">
        <v>235</v>
      </c>
    </row>
    <row r="93" spans="1:5" x14ac:dyDescent="0.25">
      <c r="A93" s="165" t="s">
        <v>257</v>
      </c>
      <c r="B93" t="str">
        <f t="shared" si="3"/>
        <v>SlimFix RenoTwin 5,52040</v>
      </c>
      <c r="C93">
        <v>20</v>
      </c>
      <c r="D93">
        <v>40</v>
      </c>
      <c r="E93" s="166" t="s">
        <v>236</v>
      </c>
    </row>
    <row r="94" spans="1:5" x14ac:dyDescent="0.25">
      <c r="A94" s="165" t="s">
        <v>257</v>
      </c>
      <c r="B94" t="str">
        <f t="shared" si="3"/>
        <v>SlimFix RenoTwin 5,52050</v>
      </c>
      <c r="C94">
        <v>20</v>
      </c>
      <c r="D94">
        <v>50</v>
      </c>
      <c r="E94" s="166" t="s">
        <v>236</v>
      </c>
    </row>
    <row r="95" spans="1:5" x14ac:dyDescent="0.25">
      <c r="A95" s="165" t="s">
        <v>257</v>
      </c>
      <c r="B95" t="str">
        <f t="shared" si="3"/>
        <v>SlimFix RenoTwin 5,52060</v>
      </c>
      <c r="C95">
        <v>20</v>
      </c>
      <c r="D95">
        <v>60</v>
      </c>
      <c r="E95" s="166" t="s">
        <v>237</v>
      </c>
    </row>
    <row r="96" spans="1:5" x14ac:dyDescent="0.25">
      <c r="A96" s="165" t="s">
        <v>257</v>
      </c>
      <c r="B96" t="str">
        <f t="shared" si="3"/>
        <v>SlimFix RenoTwin 5,52070</v>
      </c>
      <c r="C96">
        <v>20</v>
      </c>
      <c r="D96">
        <v>70</v>
      </c>
      <c r="E96" s="166" t="s">
        <v>237</v>
      </c>
    </row>
    <row r="97" spans="1:5" x14ac:dyDescent="0.25">
      <c r="A97" s="165" t="s">
        <v>257</v>
      </c>
      <c r="B97" t="str">
        <f t="shared" si="3"/>
        <v>SlimFix RenoTwin 5,53022</v>
      </c>
      <c r="C97">
        <v>30</v>
      </c>
      <c r="D97">
        <v>22</v>
      </c>
      <c r="E97" s="166" t="s">
        <v>235</v>
      </c>
    </row>
    <row r="98" spans="1:5" x14ac:dyDescent="0.25">
      <c r="A98" s="165" t="s">
        <v>257</v>
      </c>
      <c r="B98" t="str">
        <f t="shared" si="3"/>
        <v>SlimFix RenoTwin 5,53040</v>
      </c>
      <c r="C98">
        <v>30</v>
      </c>
      <c r="D98">
        <v>40</v>
      </c>
      <c r="E98" s="166" t="s">
        <v>236</v>
      </c>
    </row>
    <row r="99" spans="1:5" x14ac:dyDescent="0.25">
      <c r="A99" s="165" t="s">
        <v>257</v>
      </c>
      <c r="B99" t="str">
        <f t="shared" si="3"/>
        <v>SlimFix RenoTwin 5,53050</v>
      </c>
      <c r="C99">
        <v>30</v>
      </c>
      <c r="D99">
        <v>50</v>
      </c>
      <c r="E99" s="166" t="s">
        <v>237</v>
      </c>
    </row>
    <row r="100" spans="1:5" x14ac:dyDescent="0.25">
      <c r="A100" s="165" t="s">
        <v>257</v>
      </c>
      <c r="B100" t="str">
        <f t="shared" si="3"/>
        <v>SlimFix RenoTwin 5,53060</v>
      </c>
      <c r="C100">
        <v>30</v>
      </c>
      <c r="D100">
        <v>60</v>
      </c>
      <c r="E100" s="166" t="s">
        <v>237</v>
      </c>
    </row>
    <row r="101" spans="1:5" x14ac:dyDescent="0.25">
      <c r="A101" s="165" t="s">
        <v>257</v>
      </c>
      <c r="B101" t="str">
        <f t="shared" si="3"/>
        <v>SlimFix RenoTwin 5,53070</v>
      </c>
      <c r="C101">
        <v>30</v>
      </c>
      <c r="D101">
        <v>70</v>
      </c>
      <c r="E101" s="166" t="s">
        <v>238</v>
      </c>
    </row>
    <row r="102" spans="1:5" x14ac:dyDescent="0.25">
      <c r="A102" s="165" t="s">
        <v>265</v>
      </c>
      <c r="B102" t="str">
        <f t="shared" si="3"/>
        <v>SlimFix RenoTwin 5022</v>
      </c>
      <c r="C102">
        <v>0</v>
      </c>
      <c r="D102">
        <v>22</v>
      </c>
      <c r="E102" s="168" t="s">
        <v>28</v>
      </c>
    </row>
    <row r="103" spans="1:5" x14ac:dyDescent="0.25">
      <c r="A103" s="165" t="s">
        <v>265</v>
      </c>
      <c r="B103" t="str">
        <f t="shared" si="3"/>
        <v>SlimFix RenoTwin 5040</v>
      </c>
      <c r="C103">
        <v>0</v>
      </c>
      <c r="D103">
        <v>40</v>
      </c>
      <c r="E103" s="168" t="s">
        <v>234</v>
      </c>
    </row>
    <row r="104" spans="1:5" x14ac:dyDescent="0.25">
      <c r="A104" s="165" t="s">
        <v>265</v>
      </c>
      <c r="B104" t="str">
        <f t="shared" si="3"/>
        <v>SlimFix RenoTwin 5050</v>
      </c>
      <c r="C104">
        <v>0</v>
      </c>
      <c r="D104">
        <v>50</v>
      </c>
      <c r="E104" s="168" t="s">
        <v>235</v>
      </c>
    </row>
    <row r="105" spans="1:5" x14ac:dyDescent="0.25">
      <c r="A105" s="165" t="s">
        <v>265</v>
      </c>
      <c r="B105" t="str">
        <f t="shared" si="3"/>
        <v>SlimFix RenoTwin 5060</v>
      </c>
      <c r="C105">
        <v>0</v>
      </c>
      <c r="D105">
        <v>60</v>
      </c>
      <c r="E105" s="168" t="s">
        <v>235</v>
      </c>
    </row>
    <row r="106" spans="1:5" x14ac:dyDescent="0.25">
      <c r="A106" s="165" t="s">
        <v>265</v>
      </c>
      <c r="B106" t="str">
        <f t="shared" si="3"/>
        <v>SlimFix RenoTwin 5070</v>
      </c>
      <c r="C106">
        <v>0</v>
      </c>
      <c r="D106">
        <v>70</v>
      </c>
      <c r="E106" s="168" t="s">
        <v>236</v>
      </c>
    </row>
    <row r="107" spans="1:5" x14ac:dyDescent="0.25">
      <c r="A107" s="165" t="s">
        <v>265</v>
      </c>
      <c r="B107" t="str">
        <f t="shared" si="3"/>
        <v>SlimFix RenoTwin 52022</v>
      </c>
      <c r="C107">
        <v>20</v>
      </c>
      <c r="D107">
        <v>22</v>
      </c>
      <c r="E107" s="168" t="s">
        <v>235</v>
      </c>
    </row>
    <row r="108" spans="1:5" x14ac:dyDescent="0.25">
      <c r="A108" s="165" t="s">
        <v>265</v>
      </c>
      <c r="B108" t="str">
        <f t="shared" si="3"/>
        <v>SlimFix RenoTwin 52040</v>
      </c>
      <c r="C108">
        <v>20</v>
      </c>
      <c r="D108">
        <v>40</v>
      </c>
      <c r="E108" s="168" t="s">
        <v>235</v>
      </c>
    </row>
    <row r="109" spans="1:5" x14ac:dyDescent="0.25">
      <c r="A109" s="165" t="s">
        <v>265</v>
      </c>
      <c r="B109" t="str">
        <f t="shared" si="3"/>
        <v>SlimFix RenoTwin 52050</v>
      </c>
      <c r="C109">
        <v>20</v>
      </c>
      <c r="D109">
        <v>50</v>
      </c>
      <c r="E109" s="168" t="s">
        <v>236</v>
      </c>
    </row>
    <row r="110" spans="1:5" x14ac:dyDescent="0.25">
      <c r="A110" s="165" t="s">
        <v>265</v>
      </c>
      <c r="B110" t="str">
        <f t="shared" si="3"/>
        <v>SlimFix RenoTwin 52060</v>
      </c>
      <c r="C110">
        <v>20</v>
      </c>
      <c r="D110">
        <v>60</v>
      </c>
      <c r="E110" s="168" t="s">
        <v>236</v>
      </c>
    </row>
    <row r="111" spans="1:5" x14ac:dyDescent="0.25">
      <c r="A111" s="165" t="s">
        <v>265</v>
      </c>
      <c r="B111" t="str">
        <f t="shared" si="3"/>
        <v>SlimFix RenoTwin 52070</v>
      </c>
      <c r="C111">
        <v>20</v>
      </c>
      <c r="D111">
        <v>70</v>
      </c>
      <c r="E111" s="168" t="s">
        <v>237</v>
      </c>
    </row>
    <row r="112" spans="1:5" x14ac:dyDescent="0.25">
      <c r="A112" s="165" t="s">
        <v>265</v>
      </c>
      <c r="B112" t="str">
        <f t="shared" si="3"/>
        <v>SlimFix RenoTwin 53022</v>
      </c>
      <c r="C112">
        <v>30</v>
      </c>
      <c r="D112">
        <v>22</v>
      </c>
      <c r="E112" s="168" t="s">
        <v>235</v>
      </c>
    </row>
    <row r="113" spans="1:5" x14ac:dyDescent="0.25">
      <c r="A113" s="165" t="s">
        <v>265</v>
      </c>
      <c r="B113" t="str">
        <f t="shared" si="3"/>
        <v>SlimFix RenoTwin 53040</v>
      </c>
      <c r="C113">
        <v>30</v>
      </c>
      <c r="D113">
        <v>40</v>
      </c>
      <c r="E113" s="168" t="s">
        <v>236</v>
      </c>
    </row>
    <row r="114" spans="1:5" x14ac:dyDescent="0.25">
      <c r="A114" s="165" t="s">
        <v>265</v>
      </c>
      <c r="B114" t="str">
        <f t="shared" si="3"/>
        <v>SlimFix RenoTwin 53050</v>
      </c>
      <c r="C114">
        <v>30</v>
      </c>
      <c r="D114">
        <v>50</v>
      </c>
      <c r="E114" s="168" t="s">
        <v>236</v>
      </c>
    </row>
    <row r="115" spans="1:5" x14ac:dyDescent="0.25">
      <c r="A115" s="165" t="s">
        <v>265</v>
      </c>
      <c r="B115" t="str">
        <f t="shared" si="3"/>
        <v>SlimFix RenoTwin 53060</v>
      </c>
      <c r="C115">
        <v>30</v>
      </c>
      <c r="D115">
        <v>60</v>
      </c>
      <c r="E115" s="168" t="s">
        <v>237</v>
      </c>
    </row>
    <row r="116" spans="1:5" x14ac:dyDescent="0.25">
      <c r="A116" s="165" t="s">
        <v>265</v>
      </c>
      <c r="B116" t="str">
        <f t="shared" si="3"/>
        <v>SlimFix RenoTwin 53070</v>
      </c>
      <c r="C116">
        <v>30</v>
      </c>
      <c r="D116">
        <v>70</v>
      </c>
      <c r="E116" s="168" t="s">
        <v>237</v>
      </c>
    </row>
    <row r="117" spans="1:5" x14ac:dyDescent="0.25">
      <c r="A117" s="165" t="s">
        <v>258</v>
      </c>
      <c r="B117" t="str">
        <f t="shared" si="3"/>
        <v>SlimFix RenoTwin 6,3022</v>
      </c>
      <c r="C117">
        <v>0</v>
      </c>
      <c r="D117">
        <v>22</v>
      </c>
      <c r="E117" s="168" t="s">
        <v>28</v>
      </c>
    </row>
    <row r="118" spans="1:5" x14ac:dyDescent="0.25">
      <c r="A118" s="165" t="s">
        <v>258</v>
      </c>
      <c r="B118" t="str">
        <f t="shared" si="3"/>
        <v>SlimFix RenoTwin 6,3040</v>
      </c>
      <c r="C118">
        <v>0</v>
      </c>
      <c r="D118">
        <v>40</v>
      </c>
      <c r="E118" s="168" t="s">
        <v>236</v>
      </c>
    </row>
    <row r="119" spans="1:5" x14ac:dyDescent="0.25">
      <c r="A119" s="165" t="s">
        <v>258</v>
      </c>
      <c r="B119" t="str">
        <f t="shared" si="3"/>
        <v>SlimFix RenoTwin 6,3050</v>
      </c>
      <c r="C119">
        <v>0</v>
      </c>
      <c r="D119">
        <v>50</v>
      </c>
      <c r="E119" s="168" t="s">
        <v>237</v>
      </c>
    </row>
    <row r="120" spans="1:5" x14ac:dyDescent="0.25">
      <c r="A120" s="165" t="s">
        <v>258</v>
      </c>
      <c r="B120" t="str">
        <f t="shared" si="3"/>
        <v>SlimFix RenoTwin 6,3060</v>
      </c>
      <c r="C120">
        <v>0</v>
      </c>
      <c r="D120">
        <v>60</v>
      </c>
      <c r="E120" s="168" t="s">
        <v>237</v>
      </c>
    </row>
    <row r="121" spans="1:5" x14ac:dyDescent="0.25">
      <c r="A121" s="165" t="s">
        <v>258</v>
      </c>
      <c r="B121" t="str">
        <f t="shared" si="3"/>
        <v>SlimFix RenoTwin 6,3070</v>
      </c>
      <c r="C121">
        <v>0</v>
      </c>
      <c r="D121">
        <v>70</v>
      </c>
      <c r="E121" s="168" t="s">
        <v>237</v>
      </c>
    </row>
    <row r="122" spans="1:5" x14ac:dyDescent="0.25">
      <c r="A122" s="165" t="s">
        <v>258</v>
      </c>
      <c r="B122" t="str">
        <f t="shared" si="3"/>
        <v>SlimFix RenoTwin 6,32022</v>
      </c>
      <c r="C122">
        <v>20</v>
      </c>
      <c r="D122">
        <v>22</v>
      </c>
      <c r="E122" s="168" t="s">
        <v>236</v>
      </c>
    </row>
    <row r="123" spans="1:5" x14ac:dyDescent="0.25">
      <c r="A123" s="165" t="s">
        <v>258</v>
      </c>
      <c r="B123" t="str">
        <f t="shared" ref="B123:B154" si="4">CONCATENATE(A123&amp;C123&amp;D123)</f>
        <v>SlimFix RenoTwin 6,32040</v>
      </c>
      <c r="C123">
        <v>20</v>
      </c>
      <c r="D123">
        <v>40</v>
      </c>
      <c r="E123" s="168" t="s">
        <v>237</v>
      </c>
    </row>
    <row r="124" spans="1:5" x14ac:dyDescent="0.25">
      <c r="A124" s="165" t="s">
        <v>258</v>
      </c>
      <c r="B124" t="str">
        <f t="shared" si="4"/>
        <v>SlimFix RenoTwin 6,32050</v>
      </c>
      <c r="C124">
        <v>20</v>
      </c>
      <c r="D124">
        <v>50</v>
      </c>
      <c r="E124" s="168" t="s">
        <v>237</v>
      </c>
    </row>
    <row r="125" spans="1:5" x14ac:dyDescent="0.25">
      <c r="A125" s="165" t="s">
        <v>258</v>
      </c>
      <c r="B125" t="str">
        <f t="shared" si="4"/>
        <v>SlimFix RenoTwin 6,32060</v>
      </c>
      <c r="C125">
        <v>20</v>
      </c>
      <c r="D125">
        <v>60</v>
      </c>
      <c r="E125" s="168" t="s">
        <v>238</v>
      </c>
    </row>
    <row r="126" spans="1:5" x14ac:dyDescent="0.25">
      <c r="A126" s="165" t="s">
        <v>258</v>
      </c>
      <c r="B126" t="str">
        <f t="shared" si="4"/>
        <v>SlimFix RenoTwin 6,32070</v>
      </c>
      <c r="C126">
        <v>20</v>
      </c>
      <c r="D126">
        <v>70</v>
      </c>
      <c r="E126" s="168" t="s">
        <v>238</v>
      </c>
    </row>
    <row r="127" spans="1:5" x14ac:dyDescent="0.25">
      <c r="A127" s="165" t="s">
        <v>258</v>
      </c>
      <c r="B127" t="str">
        <f t="shared" si="4"/>
        <v>SlimFix RenoTwin 6,33022</v>
      </c>
      <c r="C127">
        <v>30</v>
      </c>
      <c r="D127">
        <v>22</v>
      </c>
      <c r="E127" s="168" t="s">
        <v>237</v>
      </c>
    </row>
    <row r="128" spans="1:5" x14ac:dyDescent="0.25">
      <c r="A128" s="165" t="s">
        <v>258</v>
      </c>
      <c r="B128" t="str">
        <f t="shared" si="4"/>
        <v>SlimFix RenoTwin 6,33040</v>
      </c>
      <c r="C128">
        <v>30</v>
      </c>
      <c r="D128">
        <v>40</v>
      </c>
      <c r="E128" s="168" t="s">
        <v>237</v>
      </c>
    </row>
    <row r="129" spans="1:5" x14ac:dyDescent="0.25">
      <c r="A129" s="165" t="s">
        <v>258</v>
      </c>
      <c r="B129" t="str">
        <f t="shared" si="4"/>
        <v>SlimFix RenoTwin 6,33050</v>
      </c>
      <c r="C129">
        <v>30</v>
      </c>
      <c r="D129">
        <v>50</v>
      </c>
      <c r="E129" s="168" t="s">
        <v>238</v>
      </c>
    </row>
    <row r="130" spans="1:5" x14ac:dyDescent="0.25">
      <c r="A130" s="165" t="s">
        <v>258</v>
      </c>
      <c r="B130" t="str">
        <f t="shared" si="4"/>
        <v>SlimFix RenoTwin 6,33060</v>
      </c>
      <c r="C130">
        <v>30</v>
      </c>
      <c r="D130">
        <v>60</v>
      </c>
      <c r="E130" s="168" t="s">
        <v>238</v>
      </c>
    </row>
    <row r="131" spans="1:5" x14ac:dyDescent="0.25">
      <c r="A131" s="165" t="s">
        <v>258</v>
      </c>
      <c r="B131" t="str">
        <f t="shared" si="4"/>
        <v>SlimFix RenoTwin 6,33070</v>
      </c>
      <c r="C131">
        <v>30</v>
      </c>
      <c r="D131">
        <v>70</v>
      </c>
      <c r="E131" s="168" t="s">
        <v>238</v>
      </c>
    </row>
    <row r="132" spans="1:5" x14ac:dyDescent="0.25">
      <c r="A132" s="165" t="s">
        <v>259</v>
      </c>
      <c r="B132" t="str">
        <f t="shared" si="4"/>
        <v>SlimFix RenoTwin 6,7022</v>
      </c>
      <c r="C132">
        <v>0</v>
      </c>
      <c r="D132">
        <v>22</v>
      </c>
      <c r="E132" s="166" t="s">
        <v>28</v>
      </c>
    </row>
    <row r="133" spans="1:5" x14ac:dyDescent="0.25">
      <c r="A133" s="165" t="s">
        <v>259</v>
      </c>
      <c r="B133" t="str">
        <f t="shared" si="4"/>
        <v>SlimFix RenoTwin 6,7040</v>
      </c>
      <c r="C133">
        <v>0</v>
      </c>
      <c r="D133">
        <v>40</v>
      </c>
      <c r="E133" s="166" t="s">
        <v>237</v>
      </c>
    </row>
    <row r="134" spans="1:5" x14ac:dyDescent="0.25">
      <c r="A134" s="165" t="s">
        <v>259</v>
      </c>
      <c r="B134" t="str">
        <f t="shared" si="4"/>
        <v>SlimFix RenoTwin 6,7050</v>
      </c>
      <c r="C134">
        <v>0</v>
      </c>
      <c r="D134">
        <v>50</v>
      </c>
      <c r="E134" s="166" t="s">
        <v>237</v>
      </c>
    </row>
    <row r="135" spans="1:5" x14ac:dyDescent="0.25">
      <c r="A135" s="165" t="s">
        <v>259</v>
      </c>
      <c r="B135" t="str">
        <f t="shared" si="4"/>
        <v>SlimFix RenoTwin 6,7060</v>
      </c>
      <c r="C135">
        <v>0</v>
      </c>
      <c r="D135">
        <v>60</v>
      </c>
      <c r="E135" s="166" t="s">
        <v>237</v>
      </c>
    </row>
    <row r="136" spans="1:5" x14ac:dyDescent="0.25">
      <c r="A136" s="165" t="s">
        <v>259</v>
      </c>
      <c r="B136" t="str">
        <f t="shared" si="4"/>
        <v>SlimFix RenoTwin 6,7070</v>
      </c>
      <c r="C136">
        <v>0</v>
      </c>
      <c r="D136">
        <v>70</v>
      </c>
      <c r="E136" s="166" t="s">
        <v>238</v>
      </c>
    </row>
    <row r="137" spans="1:5" x14ac:dyDescent="0.25">
      <c r="A137" s="165" t="s">
        <v>259</v>
      </c>
      <c r="B137" t="str">
        <f t="shared" si="4"/>
        <v>SlimFix RenoTwin 6,72022</v>
      </c>
      <c r="C137">
        <v>20</v>
      </c>
      <c r="D137">
        <v>22</v>
      </c>
      <c r="E137" s="166" t="s">
        <v>237</v>
      </c>
    </row>
    <row r="138" spans="1:5" x14ac:dyDescent="0.25">
      <c r="A138" s="165" t="s">
        <v>259</v>
      </c>
      <c r="B138" t="str">
        <f t="shared" si="4"/>
        <v>SlimFix RenoTwin 6,72040</v>
      </c>
      <c r="C138">
        <v>20</v>
      </c>
      <c r="D138">
        <v>40</v>
      </c>
      <c r="E138" s="166" t="s">
        <v>237</v>
      </c>
    </row>
    <row r="139" spans="1:5" x14ac:dyDescent="0.25">
      <c r="A139" s="165" t="s">
        <v>259</v>
      </c>
      <c r="B139" t="str">
        <f t="shared" si="4"/>
        <v>SlimFix RenoTwin 6,72050</v>
      </c>
      <c r="C139">
        <v>20</v>
      </c>
      <c r="D139">
        <v>50</v>
      </c>
      <c r="E139" s="166" t="s">
        <v>238</v>
      </c>
    </row>
    <row r="140" spans="1:5" x14ac:dyDescent="0.25">
      <c r="A140" s="165" t="s">
        <v>259</v>
      </c>
      <c r="B140" t="str">
        <f t="shared" si="4"/>
        <v>SlimFix RenoTwin 6,72060</v>
      </c>
      <c r="C140">
        <v>20</v>
      </c>
      <c r="D140">
        <v>60</v>
      </c>
      <c r="E140" s="166" t="s">
        <v>238</v>
      </c>
    </row>
    <row r="141" spans="1:5" x14ac:dyDescent="0.25">
      <c r="A141" s="165" t="s">
        <v>259</v>
      </c>
      <c r="B141" t="str">
        <f t="shared" si="4"/>
        <v>SlimFix RenoTwin 6,72070</v>
      </c>
      <c r="C141">
        <v>20</v>
      </c>
      <c r="D141">
        <v>70</v>
      </c>
      <c r="E141" s="166" t="s">
        <v>238</v>
      </c>
    </row>
    <row r="142" spans="1:5" x14ac:dyDescent="0.25">
      <c r="A142" s="165" t="s">
        <v>259</v>
      </c>
      <c r="B142" t="str">
        <f t="shared" si="4"/>
        <v>SlimFix RenoTwin 6,73022</v>
      </c>
      <c r="C142">
        <v>30</v>
      </c>
      <c r="D142">
        <v>22</v>
      </c>
      <c r="E142" s="166" t="s">
        <v>237</v>
      </c>
    </row>
    <row r="143" spans="1:5" x14ac:dyDescent="0.25">
      <c r="A143" s="165" t="s">
        <v>259</v>
      </c>
      <c r="B143" t="str">
        <f t="shared" si="4"/>
        <v>SlimFix RenoTwin 6,73040</v>
      </c>
      <c r="C143">
        <v>30</v>
      </c>
      <c r="D143">
        <v>40</v>
      </c>
      <c r="E143" s="166" t="s">
        <v>238</v>
      </c>
    </row>
    <row r="144" spans="1:5" x14ac:dyDescent="0.25">
      <c r="A144" s="165" t="s">
        <v>259</v>
      </c>
      <c r="B144" t="str">
        <f t="shared" si="4"/>
        <v>SlimFix RenoTwin 6,73050</v>
      </c>
      <c r="C144">
        <v>30</v>
      </c>
      <c r="D144">
        <v>50</v>
      </c>
      <c r="E144" s="166" t="s">
        <v>238</v>
      </c>
    </row>
    <row r="145" spans="1:5" x14ac:dyDescent="0.25">
      <c r="A145" s="165" t="s">
        <v>259</v>
      </c>
      <c r="B145" t="str">
        <f t="shared" si="4"/>
        <v>SlimFix RenoTwin 6,73060</v>
      </c>
      <c r="C145">
        <v>30</v>
      </c>
      <c r="D145">
        <v>60</v>
      </c>
      <c r="E145" s="166" t="s">
        <v>238</v>
      </c>
    </row>
    <row r="146" spans="1:5" x14ac:dyDescent="0.25">
      <c r="A146" s="165" t="s">
        <v>259</v>
      </c>
      <c r="B146" t="str">
        <f t="shared" si="4"/>
        <v>SlimFix RenoTwin 6,73070</v>
      </c>
      <c r="C146">
        <v>30</v>
      </c>
      <c r="D146">
        <v>70</v>
      </c>
      <c r="E146" s="166" t="s">
        <v>239</v>
      </c>
    </row>
    <row r="147" spans="1:5" x14ac:dyDescent="0.25">
      <c r="A147" s="165" t="s">
        <v>266</v>
      </c>
      <c r="B147" t="str">
        <f t="shared" si="4"/>
        <v>SlimFix RenoTwin 7022</v>
      </c>
      <c r="C147">
        <v>0</v>
      </c>
      <c r="D147">
        <v>22</v>
      </c>
      <c r="E147" s="168" t="s">
        <v>28</v>
      </c>
    </row>
    <row r="148" spans="1:5" x14ac:dyDescent="0.25">
      <c r="A148" s="165" t="s">
        <v>266</v>
      </c>
      <c r="B148" t="str">
        <f t="shared" si="4"/>
        <v>SlimFix RenoTwin 7040</v>
      </c>
      <c r="C148">
        <v>0</v>
      </c>
      <c r="D148">
        <v>40</v>
      </c>
      <c r="E148" s="168" t="s">
        <v>237</v>
      </c>
    </row>
    <row r="149" spans="1:5" x14ac:dyDescent="0.25">
      <c r="A149" s="165" t="s">
        <v>266</v>
      </c>
      <c r="B149" t="str">
        <f t="shared" si="4"/>
        <v>SlimFix RenoTwin 7050</v>
      </c>
      <c r="C149">
        <v>0</v>
      </c>
      <c r="D149">
        <v>50</v>
      </c>
      <c r="E149" s="168" t="s">
        <v>237</v>
      </c>
    </row>
    <row r="150" spans="1:5" x14ac:dyDescent="0.25">
      <c r="A150" s="165" t="s">
        <v>266</v>
      </c>
      <c r="B150" t="str">
        <f t="shared" si="4"/>
        <v>SlimFix RenoTwin 7060</v>
      </c>
      <c r="C150">
        <v>0</v>
      </c>
      <c r="D150">
        <v>60</v>
      </c>
      <c r="E150" s="168" t="s">
        <v>238</v>
      </c>
    </row>
    <row r="151" spans="1:5" x14ac:dyDescent="0.25">
      <c r="A151" s="165" t="s">
        <v>266</v>
      </c>
      <c r="B151" t="str">
        <f t="shared" si="4"/>
        <v>SlimFix RenoTwin 7070</v>
      </c>
      <c r="C151">
        <v>0</v>
      </c>
      <c r="D151">
        <v>70</v>
      </c>
      <c r="E151" s="168" t="s">
        <v>238</v>
      </c>
    </row>
    <row r="152" spans="1:5" x14ac:dyDescent="0.25">
      <c r="A152" s="165" t="s">
        <v>266</v>
      </c>
      <c r="B152" t="str">
        <f t="shared" si="4"/>
        <v>SlimFix RenoTwin 72022</v>
      </c>
      <c r="C152">
        <v>20</v>
      </c>
      <c r="D152">
        <v>22</v>
      </c>
      <c r="E152" s="168" t="s">
        <v>237</v>
      </c>
    </row>
    <row r="153" spans="1:5" x14ac:dyDescent="0.25">
      <c r="A153" s="165" t="s">
        <v>266</v>
      </c>
      <c r="B153" t="str">
        <f t="shared" si="4"/>
        <v>SlimFix RenoTwin 72040</v>
      </c>
      <c r="C153">
        <v>20</v>
      </c>
      <c r="D153">
        <v>40</v>
      </c>
      <c r="E153" s="168" t="s">
        <v>238</v>
      </c>
    </row>
    <row r="154" spans="1:5" x14ac:dyDescent="0.25">
      <c r="A154" s="165" t="s">
        <v>266</v>
      </c>
      <c r="B154" t="str">
        <f t="shared" si="4"/>
        <v>SlimFix RenoTwin 72050</v>
      </c>
      <c r="C154">
        <v>20</v>
      </c>
      <c r="D154">
        <v>50</v>
      </c>
      <c r="E154" s="168" t="s">
        <v>238</v>
      </c>
    </row>
    <row r="155" spans="1:5" x14ac:dyDescent="0.25">
      <c r="A155" s="165" t="s">
        <v>266</v>
      </c>
      <c r="B155" t="str">
        <f t="shared" ref="B155:B186" si="5">CONCATENATE(A155&amp;C155&amp;D155)</f>
        <v>SlimFix RenoTwin 72060</v>
      </c>
      <c r="C155">
        <v>20</v>
      </c>
      <c r="D155">
        <v>60</v>
      </c>
      <c r="E155" s="168" t="s">
        <v>238</v>
      </c>
    </row>
    <row r="156" spans="1:5" x14ac:dyDescent="0.25">
      <c r="A156" s="165" t="s">
        <v>266</v>
      </c>
      <c r="B156" t="str">
        <f t="shared" si="5"/>
        <v>SlimFix RenoTwin 72070</v>
      </c>
      <c r="C156">
        <v>20</v>
      </c>
      <c r="D156">
        <v>70</v>
      </c>
      <c r="E156" s="168" t="s">
        <v>239</v>
      </c>
    </row>
    <row r="157" spans="1:5" x14ac:dyDescent="0.25">
      <c r="A157" s="165" t="s">
        <v>266</v>
      </c>
      <c r="B157" t="str">
        <f t="shared" si="5"/>
        <v>SlimFix RenoTwin 73022</v>
      </c>
      <c r="C157">
        <v>30</v>
      </c>
      <c r="D157">
        <v>22</v>
      </c>
      <c r="E157" s="168" t="s">
        <v>237</v>
      </c>
    </row>
    <row r="158" spans="1:5" x14ac:dyDescent="0.25">
      <c r="A158" s="165" t="s">
        <v>266</v>
      </c>
      <c r="B158" t="str">
        <f t="shared" si="5"/>
        <v>SlimFix RenoTwin 73040</v>
      </c>
      <c r="C158">
        <v>30</v>
      </c>
      <c r="D158">
        <v>40</v>
      </c>
      <c r="E158" s="168" t="s">
        <v>238</v>
      </c>
    </row>
    <row r="159" spans="1:5" x14ac:dyDescent="0.25">
      <c r="A159" s="165" t="s">
        <v>266</v>
      </c>
      <c r="B159" t="str">
        <f t="shared" si="5"/>
        <v>SlimFix RenoTwin 73050</v>
      </c>
      <c r="C159">
        <v>30</v>
      </c>
      <c r="D159">
        <v>50</v>
      </c>
      <c r="E159" s="168" t="s">
        <v>238</v>
      </c>
    </row>
    <row r="160" spans="1:5" x14ac:dyDescent="0.25">
      <c r="A160" s="165" t="s">
        <v>266</v>
      </c>
      <c r="B160" t="str">
        <f t="shared" si="5"/>
        <v>SlimFix RenoTwin 73060</v>
      </c>
      <c r="C160">
        <v>30</v>
      </c>
      <c r="D160">
        <v>60</v>
      </c>
      <c r="E160" s="168" t="s">
        <v>239</v>
      </c>
    </row>
    <row r="161" spans="1:5" x14ac:dyDescent="0.25">
      <c r="A161" s="165" t="s">
        <v>266</v>
      </c>
      <c r="B161" t="str">
        <f t="shared" si="5"/>
        <v>SlimFix RenoTwin 73070</v>
      </c>
      <c r="C161">
        <v>30</v>
      </c>
      <c r="D161">
        <v>70</v>
      </c>
      <c r="E161" s="168" t="s">
        <v>239</v>
      </c>
    </row>
    <row r="162" spans="1:5" x14ac:dyDescent="0.25">
      <c r="A162" s="165" t="s">
        <v>267</v>
      </c>
      <c r="B162" t="str">
        <f t="shared" si="5"/>
        <v>SlimFix RenoTwin 8022</v>
      </c>
      <c r="C162">
        <v>0</v>
      </c>
      <c r="D162">
        <v>22</v>
      </c>
      <c r="E162" s="166" t="s">
        <v>28</v>
      </c>
    </row>
    <row r="163" spans="1:5" x14ac:dyDescent="0.25">
      <c r="A163" s="165" t="s">
        <v>267</v>
      </c>
      <c r="B163" t="str">
        <f t="shared" si="5"/>
        <v>SlimFix RenoTwin 8040</v>
      </c>
      <c r="C163">
        <v>0</v>
      </c>
      <c r="D163">
        <v>40</v>
      </c>
      <c r="E163" s="166" t="s">
        <v>238</v>
      </c>
    </row>
    <row r="164" spans="1:5" x14ac:dyDescent="0.25">
      <c r="A164" s="165" t="s">
        <v>267</v>
      </c>
      <c r="B164" t="str">
        <f t="shared" si="5"/>
        <v>SlimFix RenoTwin 8050</v>
      </c>
      <c r="C164">
        <v>0</v>
      </c>
      <c r="D164">
        <v>50</v>
      </c>
      <c r="E164" s="166" t="s">
        <v>239</v>
      </c>
    </row>
    <row r="165" spans="1:5" x14ac:dyDescent="0.25">
      <c r="A165" s="165" t="s">
        <v>267</v>
      </c>
      <c r="B165" t="str">
        <f t="shared" si="5"/>
        <v>SlimFix RenoTwin 8060</v>
      </c>
      <c r="C165">
        <v>0</v>
      </c>
      <c r="D165">
        <v>60</v>
      </c>
      <c r="E165" s="166" t="s">
        <v>239</v>
      </c>
    </row>
    <row r="166" spans="1:5" x14ac:dyDescent="0.25">
      <c r="A166" s="165" t="s">
        <v>267</v>
      </c>
      <c r="B166" t="str">
        <f t="shared" si="5"/>
        <v>SlimFix RenoTwin 8070</v>
      </c>
      <c r="C166">
        <v>0</v>
      </c>
      <c r="D166">
        <v>70</v>
      </c>
      <c r="E166" s="166" t="s">
        <v>239</v>
      </c>
    </row>
    <row r="167" spans="1:5" x14ac:dyDescent="0.25">
      <c r="A167" s="165" t="s">
        <v>267</v>
      </c>
      <c r="B167" t="str">
        <f t="shared" si="5"/>
        <v>SlimFix RenoTwin 82022</v>
      </c>
      <c r="C167">
        <v>20</v>
      </c>
      <c r="D167">
        <v>22</v>
      </c>
      <c r="E167" s="166" t="s">
        <v>238</v>
      </c>
    </row>
    <row r="168" spans="1:5" x14ac:dyDescent="0.25">
      <c r="A168" s="165" t="s">
        <v>267</v>
      </c>
      <c r="B168" t="str">
        <f t="shared" si="5"/>
        <v>SlimFix RenoTwin 82040</v>
      </c>
      <c r="C168">
        <v>20</v>
      </c>
      <c r="D168">
        <v>40</v>
      </c>
      <c r="E168" s="166" t="s">
        <v>239</v>
      </c>
    </row>
    <row r="169" spans="1:5" x14ac:dyDescent="0.25">
      <c r="A169" s="165" t="s">
        <v>267</v>
      </c>
      <c r="B169" t="str">
        <f t="shared" si="5"/>
        <v>SlimFix RenoTwin 82050</v>
      </c>
      <c r="C169">
        <v>20</v>
      </c>
      <c r="D169">
        <v>50</v>
      </c>
      <c r="E169" s="166" t="s">
        <v>239</v>
      </c>
    </row>
    <row r="170" spans="1:5" x14ac:dyDescent="0.25">
      <c r="A170" s="165" t="s">
        <v>267</v>
      </c>
      <c r="B170" t="str">
        <f t="shared" si="5"/>
        <v>SlimFix RenoTwin 82060</v>
      </c>
      <c r="C170">
        <v>20</v>
      </c>
      <c r="D170">
        <v>60</v>
      </c>
      <c r="E170" s="166" t="s">
        <v>239</v>
      </c>
    </row>
    <row r="171" spans="1:5" x14ac:dyDescent="0.25">
      <c r="A171" s="165" t="s">
        <v>267</v>
      </c>
      <c r="B171" t="str">
        <f t="shared" si="5"/>
        <v>SlimFix RenoTwin 82070</v>
      </c>
      <c r="C171">
        <v>20</v>
      </c>
      <c r="D171">
        <v>70</v>
      </c>
      <c r="E171" s="166" t="s">
        <v>239</v>
      </c>
    </row>
    <row r="172" spans="1:5" x14ac:dyDescent="0.25">
      <c r="A172" s="165" t="s">
        <v>267</v>
      </c>
      <c r="B172" t="str">
        <f t="shared" si="5"/>
        <v>SlimFix RenoTwin 83022</v>
      </c>
      <c r="C172">
        <v>30</v>
      </c>
      <c r="D172">
        <v>22</v>
      </c>
      <c r="E172" s="166" t="s">
        <v>239</v>
      </c>
    </row>
    <row r="173" spans="1:5" x14ac:dyDescent="0.25">
      <c r="A173" s="165" t="s">
        <v>267</v>
      </c>
      <c r="B173" t="str">
        <f t="shared" si="5"/>
        <v>SlimFix RenoTwin 83040</v>
      </c>
      <c r="C173">
        <v>30</v>
      </c>
      <c r="D173">
        <v>40</v>
      </c>
      <c r="E173" s="166" t="s">
        <v>239</v>
      </c>
    </row>
    <row r="174" spans="1:5" x14ac:dyDescent="0.25">
      <c r="A174" s="165" t="s">
        <v>267</v>
      </c>
      <c r="B174" t="str">
        <f t="shared" si="5"/>
        <v>SlimFix RenoTwin 83050</v>
      </c>
      <c r="C174">
        <v>30</v>
      </c>
      <c r="D174">
        <v>50</v>
      </c>
      <c r="E174" s="166" t="s">
        <v>230</v>
      </c>
    </row>
    <row r="175" spans="1:5" x14ac:dyDescent="0.25">
      <c r="A175" s="165" t="s">
        <v>267</v>
      </c>
      <c r="B175" t="str">
        <f t="shared" si="5"/>
        <v>SlimFix RenoTwin 83060</v>
      </c>
      <c r="C175">
        <v>30</v>
      </c>
      <c r="D175">
        <v>60</v>
      </c>
      <c r="E175" s="166" t="s">
        <v>230</v>
      </c>
    </row>
    <row r="176" spans="1:5" x14ac:dyDescent="0.25">
      <c r="A176" s="165" t="s">
        <v>267</v>
      </c>
      <c r="B176" t="str">
        <f t="shared" si="5"/>
        <v>SlimFix RenoTwin 83070</v>
      </c>
      <c r="C176">
        <v>30</v>
      </c>
      <c r="D176">
        <v>70</v>
      </c>
      <c r="E176" s="166" t="s">
        <v>230</v>
      </c>
    </row>
    <row r="177" spans="1:5" x14ac:dyDescent="0.25">
      <c r="A177" s="165" t="s">
        <v>268</v>
      </c>
      <c r="B177" t="str">
        <f t="shared" si="5"/>
        <v>SlimFix RenoTwin 9022</v>
      </c>
      <c r="C177">
        <v>0</v>
      </c>
      <c r="D177">
        <v>22</v>
      </c>
      <c r="E177" s="168" t="s">
        <v>28</v>
      </c>
    </row>
    <row r="178" spans="1:5" x14ac:dyDescent="0.25">
      <c r="A178" s="165" t="s">
        <v>268</v>
      </c>
      <c r="B178" t="str">
        <f t="shared" si="5"/>
        <v>SlimFix RenoTwin 9040</v>
      </c>
      <c r="C178">
        <v>0</v>
      </c>
      <c r="D178">
        <v>40</v>
      </c>
      <c r="E178" s="168" t="s">
        <v>239</v>
      </c>
    </row>
    <row r="179" spans="1:5" x14ac:dyDescent="0.25">
      <c r="A179" s="165" t="s">
        <v>268</v>
      </c>
      <c r="B179" t="str">
        <f t="shared" si="5"/>
        <v>SlimFix RenoTwin 9050</v>
      </c>
      <c r="C179">
        <v>0</v>
      </c>
      <c r="D179">
        <v>50</v>
      </c>
      <c r="E179" s="168" t="s">
        <v>230</v>
      </c>
    </row>
    <row r="180" spans="1:5" x14ac:dyDescent="0.25">
      <c r="A180" s="165" t="s">
        <v>268</v>
      </c>
      <c r="B180" t="str">
        <f t="shared" si="5"/>
        <v>SlimFix RenoTwin 9060</v>
      </c>
      <c r="C180">
        <v>0</v>
      </c>
      <c r="D180">
        <v>60</v>
      </c>
      <c r="E180" s="168" t="s">
        <v>230</v>
      </c>
    </row>
    <row r="181" spans="1:5" x14ac:dyDescent="0.25">
      <c r="A181" s="165" t="s">
        <v>268</v>
      </c>
      <c r="B181" t="str">
        <f t="shared" si="5"/>
        <v>SlimFix RenoTwin 9070</v>
      </c>
      <c r="C181">
        <v>0</v>
      </c>
      <c r="D181">
        <v>70</v>
      </c>
      <c r="E181" s="168" t="s">
        <v>230</v>
      </c>
    </row>
    <row r="182" spans="1:5" x14ac:dyDescent="0.25">
      <c r="A182" s="165" t="s">
        <v>268</v>
      </c>
      <c r="B182" t="str">
        <f t="shared" si="5"/>
        <v>SlimFix RenoTwin 92022</v>
      </c>
      <c r="C182">
        <v>20</v>
      </c>
      <c r="D182">
        <v>22</v>
      </c>
      <c r="E182" s="168" t="s">
        <v>239</v>
      </c>
    </row>
    <row r="183" spans="1:5" x14ac:dyDescent="0.25">
      <c r="A183" s="165" t="s">
        <v>268</v>
      </c>
      <c r="B183" t="str">
        <f t="shared" si="5"/>
        <v>SlimFix RenoTwin 92040</v>
      </c>
      <c r="C183">
        <v>20</v>
      </c>
      <c r="D183">
        <v>40</v>
      </c>
      <c r="E183" s="168" t="s">
        <v>230</v>
      </c>
    </row>
    <row r="184" spans="1:5" x14ac:dyDescent="0.25">
      <c r="A184" s="165" t="s">
        <v>268</v>
      </c>
      <c r="B184" t="str">
        <f t="shared" si="5"/>
        <v>SlimFix RenoTwin 92050</v>
      </c>
      <c r="C184">
        <v>20</v>
      </c>
      <c r="D184">
        <v>50</v>
      </c>
      <c r="E184" s="168" t="s">
        <v>230</v>
      </c>
    </row>
    <row r="185" spans="1:5" x14ac:dyDescent="0.25">
      <c r="A185" s="165" t="s">
        <v>268</v>
      </c>
      <c r="B185" t="str">
        <f t="shared" si="5"/>
        <v>SlimFix RenoTwin 92060</v>
      </c>
      <c r="C185">
        <v>20</v>
      </c>
      <c r="D185">
        <v>60</v>
      </c>
      <c r="E185" s="168" t="s">
        <v>232</v>
      </c>
    </row>
    <row r="186" spans="1:5" x14ac:dyDescent="0.25">
      <c r="A186" s="165" t="s">
        <v>268</v>
      </c>
      <c r="B186" t="str">
        <f t="shared" si="5"/>
        <v>SlimFix RenoTwin 92070</v>
      </c>
      <c r="C186">
        <v>20</v>
      </c>
      <c r="D186">
        <v>70</v>
      </c>
      <c r="E186" s="168" t="s">
        <v>232</v>
      </c>
    </row>
    <row r="187" spans="1:5" x14ac:dyDescent="0.25">
      <c r="A187" s="165" t="s">
        <v>268</v>
      </c>
      <c r="B187" t="str">
        <f t="shared" ref="B187:B191" si="6">CONCATENATE(A187&amp;C187&amp;D187)</f>
        <v>SlimFix RenoTwin 93022</v>
      </c>
      <c r="C187">
        <v>30</v>
      </c>
      <c r="D187">
        <v>22</v>
      </c>
      <c r="E187" s="168" t="s">
        <v>230</v>
      </c>
    </row>
    <row r="188" spans="1:5" x14ac:dyDescent="0.25">
      <c r="A188" s="165" t="s">
        <v>268</v>
      </c>
      <c r="B188" t="str">
        <f t="shared" si="6"/>
        <v>SlimFix RenoTwin 93040</v>
      </c>
      <c r="C188">
        <v>30</v>
      </c>
      <c r="D188">
        <v>40</v>
      </c>
      <c r="E188" s="168" t="s">
        <v>230</v>
      </c>
    </row>
    <row r="189" spans="1:5" x14ac:dyDescent="0.25">
      <c r="A189" s="165" t="s">
        <v>268</v>
      </c>
      <c r="B189" t="str">
        <f t="shared" si="6"/>
        <v>SlimFix RenoTwin 93050</v>
      </c>
      <c r="C189">
        <v>30</v>
      </c>
      <c r="D189">
        <v>50</v>
      </c>
      <c r="E189" s="168" t="s">
        <v>232</v>
      </c>
    </row>
    <row r="190" spans="1:5" x14ac:dyDescent="0.25">
      <c r="A190" s="165" t="s">
        <v>268</v>
      </c>
      <c r="B190" t="str">
        <f t="shared" si="6"/>
        <v>SlimFix RenoTwin 93060</v>
      </c>
      <c r="C190">
        <v>30</v>
      </c>
      <c r="D190">
        <v>60</v>
      </c>
      <c r="E190" s="168" t="s">
        <v>232</v>
      </c>
    </row>
    <row r="191" spans="1:5" x14ac:dyDescent="0.25">
      <c r="A191" s="165" t="s">
        <v>268</v>
      </c>
      <c r="B191" t="str">
        <f t="shared" si="6"/>
        <v>SlimFix RenoTwin 93070</v>
      </c>
      <c r="C191">
        <v>30</v>
      </c>
      <c r="D191">
        <v>70</v>
      </c>
      <c r="E191" s="168" t="s">
        <v>232</v>
      </c>
    </row>
    <row r="192" spans="1:5" x14ac:dyDescent="0.25">
      <c r="A192" s="165" t="s">
        <v>241</v>
      </c>
      <c r="B192" t="str">
        <f t="shared" ref="B192:B218" si="7">CONCATENATE(A192&amp;C192&amp;D192)</f>
        <v>SlimFix RenoTwin Solar 10.0022</v>
      </c>
      <c r="C192">
        <v>0</v>
      </c>
      <c r="D192">
        <v>22</v>
      </c>
      <c r="E192" s="166" t="s">
        <v>28</v>
      </c>
    </row>
    <row r="193" spans="1:5" x14ac:dyDescent="0.25">
      <c r="A193" s="165" t="s">
        <v>241</v>
      </c>
      <c r="B193" t="str">
        <f t="shared" si="7"/>
        <v>SlimFix RenoTwin Solar 10.0040</v>
      </c>
      <c r="C193">
        <v>0</v>
      </c>
      <c r="D193">
        <v>40</v>
      </c>
      <c r="E193" s="166" t="s">
        <v>230</v>
      </c>
    </row>
    <row r="194" spans="1:5" x14ac:dyDescent="0.25">
      <c r="A194" s="165" t="s">
        <v>241</v>
      </c>
      <c r="B194" t="str">
        <f t="shared" si="7"/>
        <v>SlimFix RenoTwin Solar 10.0050</v>
      </c>
      <c r="C194">
        <v>0</v>
      </c>
      <c r="D194">
        <v>50</v>
      </c>
      <c r="E194" s="166" t="s">
        <v>232</v>
      </c>
    </row>
    <row r="195" spans="1:5" x14ac:dyDescent="0.25">
      <c r="A195" s="165" t="s">
        <v>241</v>
      </c>
      <c r="B195" t="str">
        <f t="shared" si="7"/>
        <v>SlimFix RenoTwin Solar 10.0060</v>
      </c>
      <c r="C195">
        <v>0</v>
      </c>
      <c r="D195">
        <v>60</v>
      </c>
      <c r="E195" s="166" t="s">
        <v>232</v>
      </c>
    </row>
    <row r="196" spans="1:5" x14ac:dyDescent="0.25">
      <c r="A196" s="165" t="s">
        <v>241</v>
      </c>
      <c r="B196" t="str">
        <f t="shared" si="7"/>
        <v>SlimFix RenoTwin Solar 10.0070</v>
      </c>
      <c r="C196">
        <v>0</v>
      </c>
      <c r="D196">
        <v>70</v>
      </c>
      <c r="E196" s="166" t="s">
        <v>232</v>
      </c>
    </row>
    <row r="197" spans="1:5" x14ac:dyDescent="0.25">
      <c r="A197" s="165" t="s">
        <v>241</v>
      </c>
      <c r="B197" t="str">
        <f t="shared" si="7"/>
        <v>SlimFix RenoTwin Solar 10.02022</v>
      </c>
      <c r="C197">
        <v>20</v>
      </c>
      <c r="D197">
        <v>22</v>
      </c>
      <c r="E197" s="166" t="s">
        <v>232</v>
      </c>
    </row>
    <row r="198" spans="1:5" x14ac:dyDescent="0.25">
      <c r="A198" s="165" t="s">
        <v>241</v>
      </c>
      <c r="B198" t="str">
        <f t="shared" si="7"/>
        <v>SlimFix RenoTwin Solar 10.02040</v>
      </c>
      <c r="C198">
        <v>20</v>
      </c>
      <c r="D198">
        <v>40</v>
      </c>
      <c r="E198" s="166" t="s">
        <v>232</v>
      </c>
    </row>
    <row r="199" spans="1:5" x14ac:dyDescent="0.25">
      <c r="A199" s="165" t="s">
        <v>241</v>
      </c>
      <c r="B199" t="str">
        <f t="shared" si="7"/>
        <v>SlimFix RenoTwin Solar 10.02050</v>
      </c>
      <c r="C199">
        <v>20</v>
      </c>
      <c r="D199">
        <v>50</v>
      </c>
      <c r="E199" s="166" t="s">
        <v>232</v>
      </c>
    </row>
    <row r="200" spans="1:5" x14ac:dyDescent="0.25">
      <c r="A200" s="165" t="s">
        <v>241</v>
      </c>
      <c r="B200" t="str">
        <f t="shared" si="7"/>
        <v>SlimFix RenoTwin Solar 10.02060</v>
      </c>
      <c r="C200">
        <v>20</v>
      </c>
      <c r="D200">
        <v>60</v>
      </c>
      <c r="E200" s="166" t="s">
        <v>232</v>
      </c>
    </row>
    <row r="201" spans="1:5" x14ac:dyDescent="0.25">
      <c r="A201" s="165" t="s">
        <v>241</v>
      </c>
      <c r="B201" t="str">
        <f t="shared" si="7"/>
        <v>SlimFix RenoTwin Solar 10.02070</v>
      </c>
      <c r="C201">
        <v>20</v>
      </c>
      <c r="D201">
        <v>70</v>
      </c>
      <c r="E201" s="166" t="s">
        <v>240</v>
      </c>
    </row>
    <row r="202" spans="1:5" x14ac:dyDescent="0.25">
      <c r="A202" s="165" t="s">
        <v>241</v>
      </c>
      <c r="B202" t="str">
        <f t="shared" si="7"/>
        <v>SlimFix RenoTwin Solar 10.03022</v>
      </c>
      <c r="C202">
        <v>30</v>
      </c>
      <c r="D202">
        <v>22</v>
      </c>
      <c r="E202" s="166" t="s">
        <v>232</v>
      </c>
    </row>
    <row r="203" spans="1:5" x14ac:dyDescent="0.25">
      <c r="A203" s="165" t="s">
        <v>241</v>
      </c>
      <c r="B203" t="str">
        <f t="shared" si="7"/>
        <v>SlimFix RenoTwin Solar 10.03040</v>
      </c>
      <c r="C203">
        <v>30</v>
      </c>
      <c r="D203">
        <v>40</v>
      </c>
      <c r="E203" s="166" t="s">
        <v>232</v>
      </c>
    </row>
    <row r="204" spans="1:5" x14ac:dyDescent="0.25">
      <c r="A204" s="165" t="s">
        <v>241</v>
      </c>
      <c r="B204" t="str">
        <f t="shared" si="7"/>
        <v>SlimFix RenoTwin Solar 10.03050</v>
      </c>
      <c r="C204">
        <v>30</v>
      </c>
      <c r="D204">
        <v>50</v>
      </c>
      <c r="E204" s="166" t="s">
        <v>232</v>
      </c>
    </row>
    <row r="205" spans="1:5" x14ac:dyDescent="0.25">
      <c r="A205" s="165" t="s">
        <v>241</v>
      </c>
      <c r="B205" t="str">
        <f t="shared" si="7"/>
        <v>SlimFix RenoTwin Solar 10.03060</v>
      </c>
      <c r="C205">
        <v>30</v>
      </c>
      <c r="D205">
        <v>60</v>
      </c>
      <c r="E205" s="166" t="s">
        <v>240</v>
      </c>
    </row>
    <row r="206" spans="1:5" x14ac:dyDescent="0.25">
      <c r="A206" s="165" t="s">
        <v>241</v>
      </c>
      <c r="B206" t="str">
        <f t="shared" si="7"/>
        <v>SlimFix RenoTwin Solar 10.03070</v>
      </c>
      <c r="C206">
        <v>30</v>
      </c>
      <c r="D206">
        <v>70</v>
      </c>
      <c r="E206" s="166" t="s">
        <v>240</v>
      </c>
    </row>
    <row r="207" spans="1:5" x14ac:dyDescent="0.25">
      <c r="A207" s="165" t="s">
        <v>242</v>
      </c>
      <c r="B207" t="str">
        <f t="shared" si="7"/>
        <v>SlimFix RenoTwin Solar 3.5022</v>
      </c>
      <c r="C207">
        <v>0</v>
      </c>
      <c r="D207">
        <v>22</v>
      </c>
      <c r="E207" s="166" t="s">
        <v>28</v>
      </c>
    </row>
    <row r="208" spans="1:5" x14ac:dyDescent="0.25">
      <c r="A208" s="165" t="s">
        <v>242</v>
      </c>
      <c r="B208" t="str">
        <f t="shared" si="7"/>
        <v>SlimFix RenoTwin Solar 3.5040</v>
      </c>
      <c r="C208">
        <v>0</v>
      </c>
      <c r="D208">
        <v>40</v>
      </c>
      <c r="E208" s="166" t="s">
        <v>228</v>
      </c>
    </row>
    <row r="209" spans="1:5" x14ac:dyDescent="0.25">
      <c r="A209" s="165" t="s">
        <v>242</v>
      </c>
      <c r="B209" t="str">
        <f t="shared" si="7"/>
        <v>SlimFix RenoTwin Solar 3.5050</v>
      </c>
      <c r="C209">
        <v>0</v>
      </c>
      <c r="D209">
        <v>50</v>
      </c>
      <c r="E209" s="166" t="s">
        <v>228</v>
      </c>
    </row>
    <row r="210" spans="1:5" x14ac:dyDescent="0.25">
      <c r="A210" s="165" t="s">
        <v>242</v>
      </c>
      <c r="B210" t="str">
        <f t="shared" si="7"/>
        <v>SlimFix RenoTwin Solar 3.5060</v>
      </c>
      <c r="C210">
        <v>0</v>
      </c>
      <c r="D210">
        <v>60</v>
      </c>
      <c r="E210" s="166" t="s">
        <v>231</v>
      </c>
    </row>
    <row r="211" spans="1:5" x14ac:dyDescent="0.25">
      <c r="A211" s="165" t="s">
        <v>242</v>
      </c>
      <c r="B211" t="str">
        <f t="shared" si="7"/>
        <v>SlimFix RenoTwin Solar 3.5070</v>
      </c>
      <c r="C211">
        <v>0</v>
      </c>
      <c r="D211">
        <v>70</v>
      </c>
      <c r="E211" s="166" t="s">
        <v>231</v>
      </c>
    </row>
    <row r="212" spans="1:5" x14ac:dyDescent="0.25">
      <c r="A212" s="165" t="s">
        <v>242</v>
      </c>
      <c r="B212" t="str">
        <f t="shared" si="7"/>
        <v>SlimFix RenoTwin Solar 3.52022</v>
      </c>
      <c r="C212">
        <v>20</v>
      </c>
      <c r="D212">
        <v>22</v>
      </c>
      <c r="E212" s="166" t="s">
        <v>228</v>
      </c>
    </row>
    <row r="213" spans="1:5" x14ac:dyDescent="0.25">
      <c r="A213" s="165" t="s">
        <v>242</v>
      </c>
      <c r="B213" t="str">
        <f t="shared" si="7"/>
        <v>SlimFix RenoTwin Solar 3.52040</v>
      </c>
      <c r="C213">
        <v>20</v>
      </c>
      <c r="D213">
        <v>40</v>
      </c>
      <c r="E213" s="166" t="s">
        <v>231</v>
      </c>
    </row>
    <row r="214" spans="1:5" x14ac:dyDescent="0.25">
      <c r="A214" s="165" t="s">
        <v>242</v>
      </c>
      <c r="B214" t="str">
        <f t="shared" si="7"/>
        <v>SlimFix RenoTwin Solar 3.52050</v>
      </c>
      <c r="C214">
        <v>20</v>
      </c>
      <c r="D214">
        <v>50</v>
      </c>
      <c r="E214" s="166" t="s">
        <v>231</v>
      </c>
    </row>
    <row r="215" spans="1:5" x14ac:dyDescent="0.25">
      <c r="A215" s="165" t="s">
        <v>242</v>
      </c>
      <c r="B215" t="str">
        <f t="shared" si="7"/>
        <v>SlimFix RenoTwin Solar 3.52060</v>
      </c>
      <c r="C215">
        <v>20</v>
      </c>
      <c r="D215">
        <v>60</v>
      </c>
      <c r="E215" s="166" t="s">
        <v>231</v>
      </c>
    </row>
    <row r="216" spans="1:5" x14ac:dyDescent="0.25">
      <c r="A216" s="165" t="s">
        <v>242</v>
      </c>
      <c r="B216" t="str">
        <f t="shared" si="7"/>
        <v>SlimFix RenoTwin Solar 3.52070</v>
      </c>
      <c r="C216">
        <v>20</v>
      </c>
      <c r="D216">
        <v>70</v>
      </c>
      <c r="E216" s="166" t="s">
        <v>234</v>
      </c>
    </row>
    <row r="217" spans="1:5" x14ac:dyDescent="0.25">
      <c r="A217" s="165" t="s">
        <v>242</v>
      </c>
      <c r="B217" t="str">
        <f t="shared" si="7"/>
        <v>SlimFix RenoTwin Solar 3.53022</v>
      </c>
      <c r="C217">
        <v>30</v>
      </c>
      <c r="D217">
        <v>22</v>
      </c>
      <c r="E217" s="166" t="s">
        <v>231</v>
      </c>
    </row>
    <row r="218" spans="1:5" x14ac:dyDescent="0.25">
      <c r="A218" s="165" t="s">
        <v>242</v>
      </c>
      <c r="B218" t="str">
        <f t="shared" si="7"/>
        <v>SlimFix RenoTwin Solar 3.53040</v>
      </c>
      <c r="C218">
        <v>30</v>
      </c>
      <c r="D218">
        <v>40</v>
      </c>
      <c r="E218" s="166" t="s">
        <v>231</v>
      </c>
    </row>
    <row r="219" spans="1:5" x14ac:dyDescent="0.25">
      <c r="A219" s="165" t="s">
        <v>242</v>
      </c>
      <c r="B219" t="str">
        <f t="shared" ref="B219:B282" si="8">CONCATENATE(A219&amp;C219&amp;D219)</f>
        <v>SlimFix RenoTwin Solar 3.53050</v>
      </c>
      <c r="C219">
        <v>30</v>
      </c>
      <c r="D219">
        <v>50</v>
      </c>
      <c r="E219" s="166" t="s">
        <v>231</v>
      </c>
    </row>
    <row r="220" spans="1:5" x14ac:dyDescent="0.25">
      <c r="A220" s="165" t="s">
        <v>242</v>
      </c>
      <c r="B220" t="str">
        <f t="shared" si="8"/>
        <v>SlimFix RenoTwin Solar 3.53060</v>
      </c>
      <c r="C220">
        <v>30</v>
      </c>
      <c r="D220">
        <v>60</v>
      </c>
      <c r="E220" s="166" t="s">
        <v>234</v>
      </c>
    </row>
    <row r="221" spans="1:5" x14ac:dyDescent="0.25">
      <c r="A221" s="165" t="s">
        <v>242</v>
      </c>
      <c r="B221" t="str">
        <f t="shared" si="8"/>
        <v>SlimFix RenoTwin Solar 3.53070</v>
      </c>
      <c r="C221">
        <v>30</v>
      </c>
      <c r="D221">
        <v>70</v>
      </c>
      <c r="E221" s="166" t="s">
        <v>234</v>
      </c>
    </row>
    <row r="222" spans="1:5" x14ac:dyDescent="0.25">
      <c r="A222" s="165" t="s">
        <v>243</v>
      </c>
      <c r="B222" t="str">
        <f t="shared" si="8"/>
        <v>SlimFix RenoTwin Solar 4.0022</v>
      </c>
      <c r="C222">
        <v>0</v>
      </c>
      <c r="D222">
        <v>22</v>
      </c>
      <c r="E222" s="168" t="s">
        <v>28</v>
      </c>
    </row>
    <row r="223" spans="1:5" x14ac:dyDescent="0.25">
      <c r="A223" s="165" t="s">
        <v>243</v>
      </c>
      <c r="B223" t="str">
        <f t="shared" si="8"/>
        <v>SlimFix RenoTwin Solar 4.0040</v>
      </c>
      <c r="C223">
        <v>0</v>
      </c>
      <c r="D223">
        <v>40</v>
      </c>
      <c r="E223" s="168" t="s">
        <v>231</v>
      </c>
    </row>
    <row r="224" spans="1:5" x14ac:dyDescent="0.25">
      <c r="A224" s="165" t="s">
        <v>243</v>
      </c>
      <c r="B224" t="str">
        <f t="shared" si="8"/>
        <v>SlimFix RenoTwin Solar 4.0050</v>
      </c>
      <c r="C224">
        <v>0</v>
      </c>
      <c r="D224">
        <v>50</v>
      </c>
      <c r="E224" s="168" t="s">
        <v>231</v>
      </c>
    </row>
    <row r="225" spans="1:5" x14ac:dyDescent="0.25">
      <c r="A225" s="165" t="s">
        <v>243</v>
      </c>
      <c r="B225" t="str">
        <f t="shared" si="8"/>
        <v>SlimFix RenoTwin Solar 4.0060</v>
      </c>
      <c r="C225">
        <v>0</v>
      </c>
      <c r="D225">
        <v>60</v>
      </c>
      <c r="E225" s="168" t="s">
        <v>231</v>
      </c>
    </row>
    <row r="226" spans="1:5" x14ac:dyDescent="0.25">
      <c r="A226" s="165" t="s">
        <v>243</v>
      </c>
      <c r="B226" t="str">
        <f t="shared" si="8"/>
        <v>SlimFix RenoTwin Solar 4.0070</v>
      </c>
      <c r="C226">
        <v>0</v>
      </c>
      <c r="D226">
        <v>70</v>
      </c>
      <c r="E226" s="168" t="s">
        <v>234</v>
      </c>
    </row>
    <row r="227" spans="1:5" x14ac:dyDescent="0.25">
      <c r="A227" s="165" t="s">
        <v>243</v>
      </c>
      <c r="B227" t="str">
        <f t="shared" si="8"/>
        <v>SlimFix RenoTwin Solar 4.02022</v>
      </c>
      <c r="C227">
        <v>20</v>
      </c>
      <c r="D227">
        <v>22</v>
      </c>
      <c r="E227" s="168" t="s">
        <v>231</v>
      </c>
    </row>
    <row r="228" spans="1:5" x14ac:dyDescent="0.25">
      <c r="A228" s="165" t="s">
        <v>243</v>
      </c>
      <c r="B228" t="str">
        <f t="shared" si="8"/>
        <v>SlimFix RenoTwin Solar 4.02040</v>
      </c>
      <c r="C228">
        <v>20</v>
      </c>
      <c r="D228">
        <v>40</v>
      </c>
      <c r="E228" s="168" t="s">
        <v>231</v>
      </c>
    </row>
    <row r="229" spans="1:5" x14ac:dyDescent="0.25">
      <c r="A229" s="165" t="s">
        <v>243</v>
      </c>
      <c r="B229" t="str">
        <f t="shared" si="8"/>
        <v>SlimFix RenoTwin Solar 4.02050</v>
      </c>
      <c r="C229">
        <v>20</v>
      </c>
      <c r="D229">
        <v>50</v>
      </c>
      <c r="E229" s="168" t="s">
        <v>234</v>
      </c>
    </row>
    <row r="230" spans="1:5" x14ac:dyDescent="0.25">
      <c r="A230" s="165" t="s">
        <v>243</v>
      </c>
      <c r="B230" t="str">
        <f t="shared" si="8"/>
        <v>SlimFix RenoTwin Solar 4.02060</v>
      </c>
      <c r="C230">
        <v>20</v>
      </c>
      <c r="D230">
        <v>60</v>
      </c>
      <c r="E230" s="168" t="s">
        <v>235</v>
      </c>
    </row>
    <row r="231" spans="1:5" x14ac:dyDescent="0.25">
      <c r="A231" s="165" t="s">
        <v>243</v>
      </c>
      <c r="B231" t="str">
        <f t="shared" si="8"/>
        <v>SlimFix RenoTwin Solar 4.02070</v>
      </c>
      <c r="C231">
        <v>20</v>
      </c>
      <c r="D231">
        <v>70</v>
      </c>
      <c r="E231" s="168" t="s">
        <v>235</v>
      </c>
    </row>
    <row r="232" spans="1:5" x14ac:dyDescent="0.25">
      <c r="A232" s="165" t="s">
        <v>243</v>
      </c>
      <c r="B232" t="str">
        <f t="shared" si="8"/>
        <v>SlimFix RenoTwin Solar 4.03022</v>
      </c>
      <c r="C232">
        <v>30</v>
      </c>
      <c r="D232">
        <v>22</v>
      </c>
      <c r="E232" s="168" t="s">
        <v>231</v>
      </c>
    </row>
    <row r="233" spans="1:5" x14ac:dyDescent="0.25">
      <c r="A233" s="165" t="s">
        <v>243</v>
      </c>
      <c r="B233" t="str">
        <f t="shared" si="8"/>
        <v>SlimFix RenoTwin Solar 4.03040</v>
      </c>
      <c r="C233">
        <v>30</v>
      </c>
      <c r="D233">
        <v>40</v>
      </c>
      <c r="E233" s="168" t="s">
        <v>234</v>
      </c>
    </row>
    <row r="234" spans="1:5" x14ac:dyDescent="0.25">
      <c r="A234" s="165" t="s">
        <v>243</v>
      </c>
      <c r="B234" t="str">
        <f t="shared" si="8"/>
        <v>SlimFix RenoTwin Solar 4.03050</v>
      </c>
      <c r="C234">
        <v>30</v>
      </c>
      <c r="D234">
        <v>50</v>
      </c>
      <c r="E234" s="168" t="s">
        <v>235</v>
      </c>
    </row>
    <row r="235" spans="1:5" x14ac:dyDescent="0.25">
      <c r="A235" s="165" t="s">
        <v>243</v>
      </c>
      <c r="B235" t="str">
        <f t="shared" si="8"/>
        <v>SlimFix RenoTwin Solar 4.03060</v>
      </c>
      <c r="C235">
        <v>30</v>
      </c>
      <c r="D235">
        <v>60</v>
      </c>
      <c r="E235" s="168" t="s">
        <v>235</v>
      </c>
    </row>
    <row r="236" spans="1:5" x14ac:dyDescent="0.25">
      <c r="A236" s="165" t="s">
        <v>243</v>
      </c>
      <c r="B236" t="str">
        <f t="shared" si="8"/>
        <v>SlimFix RenoTwin Solar 4.03070</v>
      </c>
      <c r="C236">
        <v>30</v>
      </c>
      <c r="D236">
        <v>70</v>
      </c>
      <c r="E236" s="168" t="s">
        <v>236</v>
      </c>
    </row>
    <row r="237" spans="1:5" x14ac:dyDescent="0.25">
      <c r="A237" s="165" t="s">
        <v>244</v>
      </c>
      <c r="B237" t="str">
        <f t="shared" si="8"/>
        <v>SlimFix RenoTwin Solar 4.5022</v>
      </c>
      <c r="C237">
        <v>0</v>
      </c>
      <c r="D237">
        <v>22</v>
      </c>
      <c r="E237" s="166" t="s">
        <v>28</v>
      </c>
    </row>
    <row r="238" spans="1:5" x14ac:dyDescent="0.25">
      <c r="A238" s="165" t="s">
        <v>244</v>
      </c>
      <c r="B238" t="str">
        <f t="shared" si="8"/>
        <v>SlimFix RenoTwin Solar 4.5040</v>
      </c>
      <c r="C238">
        <v>0</v>
      </c>
      <c r="D238">
        <v>40</v>
      </c>
      <c r="E238" s="166" t="s">
        <v>231</v>
      </c>
    </row>
    <row r="239" spans="1:5" x14ac:dyDescent="0.25">
      <c r="A239" s="165" t="s">
        <v>244</v>
      </c>
      <c r="B239" t="str">
        <f t="shared" si="8"/>
        <v>SlimFix RenoTwin Solar 4.5050</v>
      </c>
      <c r="C239">
        <v>0</v>
      </c>
      <c r="D239">
        <v>50</v>
      </c>
      <c r="E239" s="166" t="s">
        <v>234</v>
      </c>
    </row>
    <row r="240" spans="1:5" x14ac:dyDescent="0.25">
      <c r="A240" s="165" t="s">
        <v>244</v>
      </c>
      <c r="B240" t="str">
        <f t="shared" si="8"/>
        <v>SlimFix RenoTwin Solar 4.5060</v>
      </c>
      <c r="C240">
        <v>0</v>
      </c>
      <c r="D240">
        <v>60</v>
      </c>
      <c r="E240" s="166" t="s">
        <v>234</v>
      </c>
    </row>
    <row r="241" spans="1:5" x14ac:dyDescent="0.25">
      <c r="A241" s="165" t="s">
        <v>244</v>
      </c>
      <c r="B241" t="str">
        <f t="shared" si="8"/>
        <v>SlimFix RenoTwin Solar 4.5070</v>
      </c>
      <c r="C241">
        <v>0</v>
      </c>
      <c r="D241">
        <v>70</v>
      </c>
      <c r="E241" s="166" t="s">
        <v>235</v>
      </c>
    </row>
    <row r="242" spans="1:5" x14ac:dyDescent="0.25">
      <c r="A242" s="165" t="s">
        <v>244</v>
      </c>
      <c r="B242" t="str">
        <f t="shared" si="8"/>
        <v>SlimFix RenoTwin Solar 4.52022</v>
      </c>
      <c r="C242">
        <v>20</v>
      </c>
      <c r="D242">
        <v>22</v>
      </c>
      <c r="E242" s="166" t="s">
        <v>231</v>
      </c>
    </row>
    <row r="243" spans="1:5" x14ac:dyDescent="0.25">
      <c r="A243" s="165" t="s">
        <v>244</v>
      </c>
      <c r="B243" t="str">
        <f t="shared" si="8"/>
        <v>SlimFix RenoTwin Solar 4.52040</v>
      </c>
      <c r="C243">
        <v>20</v>
      </c>
      <c r="D243">
        <v>40</v>
      </c>
      <c r="E243" s="166" t="s">
        <v>234</v>
      </c>
    </row>
    <row r="244" spans="1:5" x14ac:dyDescent="0.25">
      <c r="A244" s="165" t="s">
        <v>244</v>
      </c>
      <c r="B244" t="str">
        <f t="shared" si="8"/>
        <v>SlimFix RenoTwin Solar 4.52050</v>
      </c>
      <c r="C244">
        <v>20</v>
      </c>
      <c r="D244">
        <v>50</v>
      </c>
      <c r="E244" s="166" t="s">
        <v>235</v>
      </c>
    </row>
    <row r="245" spans="1:5" x14ac:dyDescent="0.25">
      <c r="A245" s="165" t="s">
        <v>244</v>
      </c>
      <c r="B245" t="str">
        <f t="shared" si="8"/>
        <v>SlimFix RenoTwin Solar 4.52060</v>
      </c>
      <c r="C245">
        <v>20</v>
      </c>
      <c r="D245">
        <v>60</v>
      </c>
      <c r="E245" s="166" t="s">
        <v>236</v>
      </c>
    </row>
    <row r="246" spans="1:5" x14ac:dyDescent="0.25">
      <c r="A246" s="165" t="s">
        <v>244</v>
      </c>
      <c r="B246" t="str">
        <f t="shared" si="8"/>
        <v>SlimFix RenoTwin Solar 4.52070</v>
      </c>
      <c r="C246">
        <v>20</v>
      </c>
      <c r="D246">
        <v>70</v>
      </c>
      <c r="E246" s="166" t="s">
        <v>236</v>
      </c>
    </row>
    <row r="247" spans="1:5" x14ac:dyDescent="0.25">
      <c r="A247" s="165" t="s">
        <v>244</v>
      </c>
      <c r="B247" t="str">
        <f t="shared" si="8"/>
        <v>SlimFix RenoTwin Solar 4.53022</v>
      </c>
      <c r="C247">
        <v>30</v>
      </c>
      <c r="D247">
        <v>22</v>
      </c>
      <c r="E247" s="166" t="s">
        <v>234</v>
      </c>
    </row>
    <row r="248" spans="1:5" x14ac:dyDescent="0.25">
      <c r="A248" s="165" t="s">
        <v>244</v>
      </c>
      <c r="B248" t="str">
        <f t="shared" si="8"/>
        <v>SlimFix RenoTwin Solar 4.53040</v>
      </c>
      <c r="C248">
        <v>30</v>
      </c>
      <c r="D248">
        <v>40</v>
      </c>
      <c r="E248" s="166" t="s">
        <v>235</v>
      </c>
    </row>
    <row r="249" spans="1:5" x14ac:dyDescent="0.25">
      <c r="A249" s="165" t="s">
        <v>244</v>
      </c>
      <c r="B249" t="str">
        <f t="shared" si="8"/>
        <v>SlimFix RenoTwin Solar 4.53050</v>
      </c>
      <c r="C249">
        <v>30</v>
      </c>
      <c r="D249">
        <v>50</v>
      </c>
      <c r="E249" s="166" t="s">
        <v>236</v>
      </c>
    </row>
    <row r="250" spans="1:5" x14ac:dyDescent="0.25">
      <c r="A250" s="165" t="s">
        <v>244</v>
      </c>
      <c r="B250" t="str">
        <f t="shared" si="8"/>
        <v>SlimFix RenoTwin Solar 4.53060</v>
      </c>
      <c r="C250">
        <v>30</v>
      </c>
      <c r="D250">
        <v>60</v>
      </c>
      <c r="E250" s="166" t="s">
        <v>236</v>
      </c>
    </row>
    <row r="251" spans="1:5" x14ac:dyDescent="0.25">
      <c r="A251" s="165" t="s">
        <v>244</v>
      </c>
      <c r="B251" t="str">
        <f t="shared" si="8"/>
        <v>SlimFix RenoTwin Solar 4.53070</v>
      </c>
      <c r="C251">
        <v>30</v>
      </c>
      <c r="D251">
        <v>70</v>
      </c>
      <c r="E251" s="166" t="s">
        <v>237</v>
      </c>
    </row>
    <row r="252" spans="1:5" x14ac:dyDescent="0.25">
      <c r="A252" s="165" t="s">
        <v>245</v>
      </c>
      <c r="B252" t="str">
        <f t="shared" si="8"/>
        <v>SlimFix RenoTwin Solar 5.0022</v>
      </c>
      <c r="C252">
        <v>0</v>
      </c>
      <c r="D252">
        <v>22</v>
      </c>
      <c r="E252" s="168" t="s">
        <v>28</v>
      </c>
    </row>
    <row r="253" spans="1:5" x14ac:dyDescent="0.25">
      <c r="A253" s="165" t="s">
        <v>245</v>
      </c>
      <c r="B253" t="str">
        <f t="shared" si="8"/>
        <v>SlimFix RenoTwin Solar 5.0040</v>
      </c>
      <c r="C253">
        <v>0</v>
      </c>
      <c r="D253">
        <v>40</v>
      </c>
      <c r="E253" s="168" t="s">
        <v>234</v>
      </c>
    </row>
    <row r="254" spans="1:5" x14ac:dyDescent="0.25">
      <c r="A254" s="165" t="s">
        <v>245</v>
      </c>
      <c r="B254" t="str">
        <f t="shared" si="8"/>
        <v>SlimFix RenoTwin Solar 5.0050</v>
      </c>
      <c r="C254">
        <v>0</v>
      </c>
      <c r="D254">
        <v>50</v>
      </c>
      <c r="E254" s="168" t="s">
        <v>235</v>
      </c>
    </row>
    <row r="255" spans="1:5" x14ac:dyDescent="0.25">
      <c r="A255" s="165" t="s">
        <v>245</v>
      </c>
      <c r="B255" t="str">
        <f t="shared" si="8"/>
        <v>SlimFix RenoTwin Solar 5.0060</v>
      </c>
      <c r="C255">
        <v>0</v>
      </c>
      <c r="D255">
        <v>60</v>
      </c>
      <c r="E255" s="168" t="s">
        <v>235</v>
      </c>
    </row>
    <row r="256" spans="1:5" x14ac:dyDescent="0.25">
      <c r="A256" s="165" t="s">
        <v>245</v>
      </c>
      <c r="B256" t="str">
        <f t="shared" si="8"/>
        <v>SlimFix RenoTwin Solar 5.0070</v>
      </c>
      <c r="C256">
        <v>0</v>
      </c>
      <c r="D256">
        <v>70</v>
      </c>
      <c r="E256" s="168" t="s">
        <v>236</v>
      </c>
    </row>
    <row r="257" spans="1:5" x14ac:dyDescent="0.25">
      <c r="A257" s="165" t="s">
        <v>245</v>
      </c>
      <c r="B257" t="str">
        <f t="shared" si="8"/>
        <v>SlimFix RenoTwin Solar 5.02022</v>
      </c>
      <c r="C257">
        <v>20</v>
      </c>
      <c r="D257">
        <v>22</v>
      </c>
      <c r="E257" s="168" t="s">
        <v>235</v>
      </c>
    </row>
    <row r="258" spans="1:5" x14ac:dyDescent="0.25">
      <c r="A258" s="165" t="s">
        <v>245</v>
      </c>
      <c r="B258" t="str">
        <f t="shared" si="8"/>
        <v>SlimFix RenoTwin Solar 5.02040</v>
      </c>
      <c r="C258">
        <v>20</v>
      </c>
      <c r="D258">
        <v>40</v>
      </c>
      <c r="E258" s="168" t="s">
        <v>235</v>
      </c>
    </row>
    <row r="259" spans="1:5" x14ac:dyDescent="0.25">
      <c r="A259" s="165" t="s">
        <v>245</v>
      </c>
      <c r="B259" t="str">
        <f t="shared" si="8"/>
        <v>SlimFix RenoTwin Solar 5.02050</v>
      </c>
      <c r="C259">
        <v>20</v>
      </c>
      <c r="D259">
        <v>50</v>
      </c>
      <c r="E259" s="168" t="s">
        <v>236</v>
      </c>
    </row>
    <row r="260" spans="1:5" x14ac:dyDescent="0.25">
      <c r="A260" s="165" t="s">
        <v>245</v>
      </c>
      <c r="B260" t="str">
        <f t="shared" si="8"/>
        <v>SlimFix RenoTwin Solar 5.02060</v>
      </c>
      <c r="C260">
        <v>20</v>
      </c>
      <c r="D260">
        <v>60</v>
      </c>
      <c r="E260" s="168" t="s">
        <v>236</v>
      </c>
    </row>
    <row r="261" spans="1:5" x14ac:dyDescent="0.25">
      <c r="A261" s="165" t="s">
        <v>245</v>
      </c>
      <c r="B261" t="str">
        <f t="shared" si="8"/>
        <v>SlimFix RenoTwin Solar 5.02070</v>
      </c>
      <c r="C261">
        <v>20</v>
      </c>
      <c r="D261">
        <v>70</v>
      </c>
      <c r="E261" s="168" t="s">
        <v>237</v>
      </c>
    </row>
    <row r="262" spans="1:5" x14ac:dyDescent="0.25">
      <c r="A262" s="165" t="s">
        <v>245</v>
      </c>
      <c r="B262" t="str">
        <f t="shared" si="8"/>
        <v>SlimFix RenoTwin Solar 5.03022</v>
      </c>
      <c r="C262">
        <v>30</v>
      </c>
      <c r="D262">
        <v>22</v>
      </c>
      <c r="E262" s="168" t="s">
        <v>235</v>
      </c>
    </row>
    <row r="263" spans="1:5" x14ac:dyDescent="0.25">
      <c r="A263" s="165" t="s">
        <v>245</v>
      </c>
      <c r="B263" t="str">
        <f t="shared" si="8"/>
        <v>SlimFix RenoTwin Solar 5.03040</v>
      </c>
      <c r="C263">
        <v>30</v>
      </c>
      <c r="D263">
        <v>40</v>
      </c>
      <c r="E263" s="168" t="s">
        <v>236</v>
      </c>
    </row>
    <row r="264" spans="1:5" x14ac:dyDescent="0.25">
      <c r="A264" s="165" t="s">
        <v>245</v>
      </c>
      <c r="B264" t="str">
        <f t="shared" si="8"/>
        <v>SlimFix RenoTwin Solar 5.03050</v>
      </c>
      <c r="C264">
        <v>30</v>
      </c>
      <c r="D264">
        <v>50</v>
      </c>
      <c r="E264" s="168" t="s">
        <v>236</v>
      </c>
    </row>
    <row r="265" spans="1:5" x14ac:dyDescent="0.25">
      <c r="A265" s="165" t="s">
        <v>245</v>
      </c>
      <c r="B265" t="str">
        <f t="shared" si="8"/>
        <v>SlimFix RenoTwin Solar 5.03060</v>
      </c>
      <c r="C265">
        <v>30</v>
      </c>
      <c r="D265">
        <v>60</v>
      </c>
      <c r="E265" s="168" t="s">
        <v>237</v>
      </c>
    </row>
    <row r="266" spans="1:5" x14ac:dyDescent="0.25">
      <c r="A266" s="165" t="s">
        <v>245</v>
      </c>
      <c r="B266" t="str">
        <f t="shared" si="8"/>
        <v>SlimFix RenoTwin Solar 5.03070</v>
      </c>
      <c r="C266">
        <v>30</v>
      </c>
      <c r="D266">
        <v>70</v>
      </c>
      <c r="E266" s="168" t="s">
        <v>237</v>
      </c>
    </row>
    <row r="267" spans="1:5" x14ac:dyDescent="0.25">
      <c r="A267" s="165" t="s">
        <v>246</v>
      </c>
      <c r="B267" t="str">
        <f t="shared" si="8"/>
        <v>SlimFix RenoTwin Solar 5.5022</v>
      </c>
      <c r="C267">
        <v>0</v>
      </c>
      <c r="D267">
        <v>22</v>
      </c>
      <c r="E267" s="166" t="s">
        <v>28</v>
      </c>
    </row>
    <row r="268" spans="1:5" x14ac:dyDescent="0.25">
      <c r="A268" s="165" t="s">
        <v>246</v>
      </c>
      <c r="B268" t="str">
        <f t="shared" si="8"/>
        <v>SlimFix RenoTwin Solar 5.5040</v>
      </c>
      <c r="C268">
        <v>0</v>
      </c>
      <c r="D268">
        <v>40</v>
      </c>
      <c r="E268" s="166" t="s">
        <v>235</v>
      </c>
    </row>
    <row r="269" spans="1:5" x14ac:dyDescent="0.25">
      <c r="A269" s="165" t="s">
        <v>246</v>
      </c>
      <c r="B269" t="str">
        <f t="shared" si="8"/>
        <v>SlimFix RenoTwin Solar 5.5050</v>
      </c>
      <c r="C269">
        <v>0</v>
      </c>
      <c r="D269">
        <v>50</v>
      </c>
      <c r="E269" s="166" t="s">
        <v>235</v>
      </c>
    </row>
    <row r="270" spans="1:5" x14ac:dyDescent="0.25">
      <c r="A270" s="165" t="s">
        <v>246</v>
      </c>
      <c r="B270" t="str">
        <f t="shared" si="8"/>
        <v>SlimFix RenoTwin Solar 5.5060</v>
      </c>
      <c r="C270">
        <v>0</v>
      </c>
      <c r="D270">
        <v>60</v>
      </c>
      <c r="E270" s="166" t="s">
        <v>236</v>
      </c>
    </row>
    <row r="271" spans="1:5" x14ac:dyDescent="0.25">
      <c r="A271" s="165" t="s">
        <v>246</v>
      </c>
      <c r="B271" t="str">
        <f t="shared" si="8"/>
        <v>SlimFix RenoTwin Solar 5.5070</v>
      </c>
      <c r="C271">
        <v>0</v>
      </c>
      <c r="D271">
        <v>70</v>
      </c>
      <c r="E271" s="166" t="s">
        <v>236</v>
      </c>
    </row>
    <row r="272" spans="1:5" x14ac:dyDescent="0.25">
      <c r="A272" s="165" t="s">
        <v>246</v>
      </c>
      <c r="B272" t="str">
        <f t="shared" si="8"/>
        <v>SlimFix RenoTwin Solar 5.52022</v>
      </c>
      <c r="C272">
        <v>20</v>
      </c>
      <c r="D272">
        <v>22</v>
      </c>
      <c r="E272" s="166" t="s">
        <v>235</v>
      </c>
    </row>
    <row r="273" spans="1:5" x14ac:dyDescent="0.25">
      <c r="A273" s="165" t="s">
        <v>246</v>
      </c>
      <c r="B273" t="str">
        <f t="shared" si="8"/>
        <v>SlimFix RenoTwin Solar 5.52040</v>
      </c>
      <c r="C273">
        <v>20</v>
      </c>
      <c r="D273">
        <v>40</v>
      </c>
      <c r="E273" s="166" t="s">
        <v>236</v>
      </c>
    </row>
    <row r="274" spans="1:5" x14ac:dyDescent="0.25">
      <c r="A274" s="165" t="s">
        <v>246</v>
      </c>
      <c r="B274" t="str">
        <f t="shared" si="8"/>
        <v>SlimFix RenoTwin Solar 5.52050</v>
      </c>
      <c r="C274">
        <v>20</v>
      </c>
      <c r="D274">
        <v>50</v>
      </c>
      <c r="E274" s="166" t="s">
        <v>236</v>
      </c>
    </row>
    <row r="275" spans="1:5" x14ac:dyDescent="0.25">
      <c r="A275" s="165" t="s">
        <v>246</v>
      </c>
      <c r="B275" t="str">
        <f t="shared" si="8"/>
        <v>SlimFix RenoTwin Solar 5.52060</v>
      </c>
      <c r="C275">
        <v>20</v>
      </c>
      <c r="D275">
        <v>60</v>
      </c>
      <c r="E275" s="166" t="s">
        <v>237</v>
      </c>
    </row>
    <row r="276" spans="1:5" x14ac:dyDescent="0.25">
      <c r="A276" s="165" t="s">
        <v>246</v>
      </c>
      <c r="B276" t="str">
        <f t="shared" si="8"/>
        <v>SlimFix RenoTwin Solar 5.52070</v>
      </c>
      <c r="C276">
        <v>20</v>
      </c>
      <c r="D276">
        <v>70</v>
      </c>
      <c r="E276" s="166" t="s">
        <v>237</v>
      </c>
    </row>
    <row r="277" spans="1:5" x14ac:dyDescent="0.25">
      <c r="A277" s="165" t="s">
        <v>246</v>
      </c>
      <c r="B277" t="str">
        <f t="shared" si="8"/>
        <v>SlimFix RenoTwin Solar 5.53022</v>
      </c>
      <c r="C277">
        <v>30</v>
      </c>
      <c r="D277">
        <v>22</v>
      </c>
      <c r="E277" s="166" t="s">
        <v>235</v>
      </c>
    </row>
    <row r="278" spans="1:5" x14ac:dyDescent="0.25">
      <c r="A278" s="165" t="s">
        <v>246</v>
      </c>
      <c r="B278" t="str">
        <f t="shared" si="8"/>
        <v>SlimFix RenoTwin Solar 5.53040</v>
      </c>
      <c r="C278">
        <v>30</v>
      </c>
      <c r="D278">
        <v>40</v>
      </c>
      <c r="E278" s="166" t="s">
        <v>236</v>
      </c>
    </row>
    <row r="279" spans="1:5" x14ac:dyDescent="0.25">
      <c r="A279" s="165" t="s">
        <v>246</v>
      </c>
      <c r="B279" t="str">
        <f t="shared" si="8"/>
        <v>SlimFix RenoTwin Solar 5.53050</v>
      </c>
      <c r="C279">
        <v>30</v>
      </c>
      <c r="D279">
        <v>50</v>
      </c>
      <c r="E279" s="166" t="s">
        <v>237</v>
      </c>
    </row>
    <row r="280" spans="1:5" x14ac:dyDescent="0.25">
      <c r="A280" s="165" t="s">
        <v>246</v>
      </c>
      <c r="B280" t="str">
        <f t="shared" si="8"/>
        <v>SlimFix RenoTwin Solar 5.53060</v>
      </c>
      <c r="C280">
        <v>30</v>
      </c>
      <c r="D280">
        <v>60</v>
      </c>
      <c r="E280" s="166" t="s">
        <v>237</v>
      </c>
    </row>
    <row r="281" spans="1:5" x14ac:dyDescent="0.25">
      <c r="A281" s="165" t="s">
        <v>246</v>
      </c>
      <c r="B281" t="str">
        <f t="shared" si="8"/>
        <v>SlimFix RenoTwin Solar 5.53070</v>
      </c>
      <c r="C281">
        <v>30</v>
      </c>
      <c r="D281">
        <v>70</v>
      </c>
      <c r="E281" s="166" t="s">
        <v>238</v>
      </c>
    </row>
    <row r="282" spans="1:5" x14ac:dyDescent="0.25">
      <c r="A282" s="165" t="s">
        <v>247</v>
      </c>
      <c r="B282" t="str">
        <f t="shared" si="8"/>
        <v>SlimFix RenoTwin Solar 6.3022</v>
      </c>
      <c r="C282">
        <v>0</v>
      </c>
      <c r="D282">
        <v>22</v>
      </c>
      <c r="E282" s="168" t="s">
        <v>28</v>
      </c>
    </row>
    <row r="283" spans="1:5" x14ac:dyDescent="0.25">
      <c r="A283" s="165" t="s">
        <v>247</v>
      </c>
      <c r="B283" t="str">
        <f t="shared" ref="B283:B346" si="9">CONCATENATE(A283&amp;C283&amp;D283)</f>
        <v>SlimFix RenoTwin Solar 6.3040</v>
      </c>
      <c r="C283">
        <v>0</v>
      </c>
      <c r="D283">
        <v>40</v>
      </c>
      <c r="E283" s="168" t="s">
        <v>236</v>
      </c>
    </row>
    <row r="284" spans="1:5" x14ac:dyDescent="0.25">
      <c r="A284" s="165" t="s">
        <v>247</v>
      </c>
      <c r="B284" t="str">
        <f t="shared" si="9"/>
        <v>SlimFix RenoTwin Solar 6.3050</v>
      </c>
      <c r="C284">
        <v>0</v>
      </c>
      <c r="D284">
        <v>50</v>
      </c>
      <c r="E284" s="168" t="s">
        <v>237</v>
      </c>
    </row>
    <row r="285" spans="1:5" x14ac:dyDescent="0.25">
      <c r="A285" s="165" t="s">
        <v>247</v>
      </c>
      <c r="B285" t="str">
        <f t="shared" si="9"/>
        <v>SlimFix RenoTwin Solar 6.3060</v>
      </c>
      <c r="C285">
        <v>0</v>
      </c>
      <c r="D285">
        <v>60</v>
      </c>
      <c r="E285" s="168" t="s">
        <v>237</v>
      </c>
    </row>
    <row r="286" spans="1:5" x14ac:dyDescent="0.25">
      <c r="A286" s="165" t="s">
        <v>247</v>
      </c>
      <c r="B286" t="str">
        <f t="shared" si="9"/>
        <v>SlimFix RenoTwin Solar 6.3070</v>
      </c>
      <c r="C286">
        <v>0</v>
      </c>
      <c r="D286">
        <v>70</v>
      </c>
      <c r="E286" s="168" t="s">
        <v>237</v>
      </c>
    </row>
    <row r="287" spans="1:5" x14ac:dyDescent="0.25">
      <c r="A287" s="165" t="s">
        <v>247</v>
      </c>
      <c r="B287" t="str">
        <f t="shared" si="9"/>
        <v>SlimFix RenoTwin Solar 6.32022</v>
      </c>
      <c r="C287">
        <v>20</v>
      </c>
      <c r="D287">
        <v>22</v>
      </c>
      <c r="E287" s="168" t="s">
        <v>236</v>
      </c>
    </row>
    <row r="288" spans="1:5" x14ac:dyDescent="0.25">
      <c r="A288" s="165" t="s">
        <v>247</v>
      </c>
      <c r="B288" t="str">
        <f t="shared" si="9"/>
        <v>SlimFix RenoTwin Solar 6.32040</v>
      </c>
      <c r="C288">
        <v>20</v>
      </c>
      <c r="D288">
        <v>40</v>
      </c>
      <c r="E288" s="168" t="s">
        <v>237</v>
      </c>
    </row>
    <row r="289" spans="1:5" x14ac:dyDescent="0.25">
      <c r="A289" s="165" t="s">
        <v>247</v>
      </c>
      <c r="B289" t="str">
        <f t="shared" si="9"/>
        <v>SlimFix RenoTwin Solar 6.32050</v>
      </c>
      <c r="C289">
        <v>20</v>
      </c>
      <c r="D289">
        <v>50</v>
      </c>
      <c r="E289" s="168" t="s">
        <v>237</v>
      </c>
    </row>
    <row r="290" spans="1:5" x14ac:dyDescent="0.25">
      <c r="A290" s="165" t="s">
        <v>247</v>
      </c>
      <c r="B290" t="str">
        <f t="shared" si="9"/>
        <v>SlimFix RenoTwin Solar 6.32060</v>
      </c>
      <c r="C290">
        <v>20</v>
      </c>
      <c r="D290">
        <v>60</v>
      </c>
      <c r="E290" s="168" t="s">
        <v>238</v>
      </c>
    </row>
    <row r="291" spans="1:5" x14ac:dyDescent="0.25">
      <c r="A291" s="165" t="s">
        <v>247</v>
      </c>
      <c r="B291" t="str">
        <f t="shared" si="9"/>
        <v>SlimFix RenoTwin Solar 6.32070</v>
      </c>
      <c r="C291">
        <v>20</v>
      </c>
      <c r="D291">
        <v>70</v>
      </c>
      <c r="E291" s="168" t="s">
        <v>238</v>
      </c>
    </row>
    <row r="292" spans="1:5" x14ac:dyDescent="0.25">
      <c r="A292" s="165" t="s">
        <v>247</v>
      </c>
      <c r="B292" t="str">
        <f t="shared" si="9"/>
        <v>SlimFix RenoTwin Solar 6.33022</v>
      </c>
      <c r="C292">
        <v>30</v>
      </c>
      <c r="D292">
        <v>22</v>
      </c>
      <c r="E292" s="168" t="s">
        <v>237</v>
      </c>
    </row>
    <row r="293" spans="1:5" x14ac:dyDescent="0.25">
      <c r="A293" s="165" t="s">
        <v>247</v>
      </c>
      <c r="B293" t="str">
        <f t="shared" si="9"/>
        <v>SlimFix RenoTwin Solar 6.33040</v>
      </c>
      <c r="C293">
        <v>30</v>
      </c>
      <c r="D293">
        <v>40</v>
      </c>
      <c r="E293" s="168" t="s">
        <v>237</v>
      </c>
    </row>
    <row r="294" spans="1:5" x14ac:dyDescent="0.25">
      <c r="A294" s="165" t="s">
        <v>247</v>
      </c>
      <c r="B294" t="str">
        <f t="shared" si="9"/>
        <v>SlimFix RenoTwin Solar 6.33050</v>
      </c>
      <c r="C294">
        <v>30</v>
      </c>
      <c r="D294">
        <v>50</v>
      </c>
      <c r="E294" s="168" t="s">
        <v>238</v>
      </c>
    </row>
    <row r="295" spans="1:5" x14ac:dyDescent="0.25">
      <c r="A295" s="165" t="s">
        <v>247</v>
      </c>
      <c r="B295" t="str">
        <f t="shared" si="9"/>
        <v>SlimFix RenoTwin Solar 6.33060</v>
      </c>
      <c r="C295">
        <v>30</v>
      </c>
      <c r="D295">
        <v>60</v>
      </c>
      <c r="E295" s="168" t="s">
        <v>238</v>
      </c>
    </row>
    <row r="296" spans="1:5" x14ac:dyDescent="0.25">
      <c r="A296" s="165" t="s">
        <v>247</v>
      </c>
      <c r="B296" t="str">
        <f t="shared" si="9"/>
        <v>SlimFix RenoTwin Solar 6.33070</v>
      </c>
      <c r="C296">
        <v>30</v>
      </c>
      <c r="D296">
        <v>70</v>
      </c>
      <c r="E296" s="168" t="s">
        <v>238</v>
      </c>
    </row>
    <row r="297" spans="1:5" x14ac:dyDescent="0.25">
      <c r="A297" s="165" t="s">
        <v>248</v>
      </c>
      <c r="B297" t="str">
        <f t="shared" si="9"/>
        <v>SlimFix RenoTwin Solar 6.7022</v>
      </c>
      <c r="C297">
        <v>0</v>
      </c>
      <c r="D297">
        <v>22</v>
      </c>
      <c r="E297" s="166" t="s">
        <v>28</v>
      </c>
    </row>
    <row r="298" spans="1:5" x14ac:dyDescent="0.25">
      <c r="A298" s="165" t="s">
        <v>248</v>
      </c>
      <c r="B298" t="str">
        <f t="shared" si="9"/>
        <v>SlimFix RenoTwin Solar 6.7040</v>
      </c>
      <c r="C298">
        <v>0</v>
      </c>
      <c r="D298">
        <v>40</v>
      </c>
      <c r="E298" s="166" t="s">
        <v>237</v>
      </c>
    </row>
    <row r="299" spans="1:5" x14ac:dyDescent="0.25">
      <c r="A299" s="165" t="s">
        <v>248</v>
      </c>
      <c r="B299" t="str">
        <f t="shared" si="9"/>
        <v>SlimFix RenoTwin Solar 6.7050</v>
      </c>
      <c r="C299">
        <v>0</v>
      </c>
      <c r="D299">
        <v>50</v>
      </c>
      <c r="E299" s="166" t="s">
        <v>237</v>
      </c>
    </row>
    <row r="300" spans="1:5" x14ac:dyDescent="0.25">
      <c r="A300" s="165" t="s">
        <v>248</v>
      </c>
      <c r="B300" t="str">
        <f t="shared" si="9"/>
        <v>SlimFix RenoTwin Solar 6.7060</v>
      </c>
      <c r="C300">
        <v>0</v>
      </c>
      <c r="D300">
        <v>60</v>
      </c>
      <c r="E300" s="166" t="s">
        <v>237</v>
      </c>
    </row>
    <row r="301" spans="1:5" x14ac:dyDescent="0.25">
      <c r="A301" s="165" t="s">
        <v>248</v>
      </c>
      <c r="B301" t="str">
        <f t="shared" si="9"/>
        <v>SlimFix RenoTwin Solar 6.7070</v>
      </c>
      <c r="C301">
        <v>0</v>
      </c>
      <c r="D301">
        <v>70</v>
      </c>
      <c r="E301" s="166" t="s">
        <v>238</v>
      </c>
    </row>
    <row r="302" spans="1:5" x14ac:dyDescent="0.25">
      <c r="A302" s="165" t="s">
        <v>248</v>
      </c>
      <c r="B302" t="str">
        <f t="shared" si="9"/>
        <v>SlimFix RenoTwin Solar 6.72022</v>
      </c>
      <c r="C302">
        <v>20</v>
      </c>
      <c r="D302">
        <v>22</v>
      </c>
      <c r="E302" s="166" t="s">
        <v>237</v>
      </c>
    </row>
    <row r="303" spans="1:5" x14ac:dyDescent="0.25">
      <c r="A303" s="165" t="s">
        <v>248</v>
      </c>
      <c r="B303" t="str">
        <f t="shared" si="9"/>
        <v>SlimFix RenoTwin Solar 6.72040</v>
      </c>
      <c r="C303">
        <v>20</v>
      </c>
      <c r="D303">
        <v>40</v>
      </c>
      <c r="E303" s="166" t="s">
        <v>237</v>
      </c>
    </row>
    <row r="304" spans="1:5" x14ac:dyDescent="0.25">
      <c r="A304" s="165" t="s">
        <v>248</v>
      </c>
      <c r="B304" t="str">
        <f t="shared" si="9"/>
        <v>SlimFix RenoTwin Solar 6.72050</v>
      </c>
      <c r="C304">
        <v>20</v>
      </c>
      <c r="D304">
        <v>50</v>
      </c>
      <c r="E304" s="166" t="s">
        <v>238</v>
      </c>
    </row>
    <row r="305" spans="1:5" x14ac:dyDescent="0.25">
      <c r="A305" s="165" t="s">
        <v>248</v>
      </c>
      <c r="B305" t="str">
        <f t="shared" si="9"/>
        <v>SlimFix RenoTwin Solar 6.72060</v>
      </c>
      <c r="C305">
        <v>20</v>
      </c>
      <c r="D305">
        <v>60</v>
      </c>
      <c r="E305" s="166" t="s">
        <v>238</v>
      </c>
    </row>
    <row r="306" spans="1:5" x14ac:dyDescent="0.25">
      <c r="A306" s="165" t="s">
        <v>248</v>
      </c>
      <c r="B306" t="str">
        <f t="shared" si="9"/>
        <v>SlimFix RenoTwin Solar 6.72070</v>
      </c>
      <c r="C306">
        <v>20</v>
      </c>
      <c r="D306">
        <v>70</v>
      </c>
      <c r="E306" s="166" t="s">
        <v>238</v>
      </c>
    </row>
    <row r="307" spans="1:5" x14ac:dyDescent="0.25">
      <c r="A307" s="165" t="s">
        <v>248</v>
      </c>
      <c r="B307" t="str">
        <f t="shared" si="9"/>
        <v>SlimFix RenoTwin Solar 6.73022</v>
      </c>
      <c r="C307">
        <v>30</v>
      </c>
      <c r="D307">
        <v>22</v>
      </c>
      <c r="E307" s="166" t="s">
        <v>237</v>
      </c>
    </row>
    <row r="308" spans="1:5" x14ac:dyDescent="0.25">
      <c r="A308" s="165" t="s">
        <v>248</v>
      </c>
      <c r="B308" t="str">
        <f t="shared" si="9"/>
        <v>SlimFix RenoTwin Solar 6.73040</v>
      </c>
      <c r="C308">
        <v>30</v>
      </c>
      <c r="D308">
        <v>40</v>
      </c>
      <c r="E308" s="166" t="s">
        <v>238</v>
      </c>
    </row>
    <row r="309" spans="1:5" x14ac:dyDescent="0.25">
      <c r="A309" s="165" t="s">
        <v>248</v>
      </c>
      <c r="B309" t="str">
        <f t="shared" si="9"/>
        <v>SlimFix RenoTwin Solar 6.73050</v>
      </c>
      <c r="C309">
        <v>30</v>
      </c>
      <c r="D309">
        <v>50</v>
      </c>
      <c r="E309" s="166" t="s">
        <v>238</v>
      </c>
    </row>
    <row r="310" spans="1:5" x14ac:dyDescent="0.25">
      <c r="A310" s="165" t="s">
        <v>248</v>
      </c>
      <c r="B310" t="str">
        <f t="shared" si="9"/>
        <v>SlimFix RenoTwin Solar 6.73060</v>
      </c>
      <c r="C310">
        <v>30</v>
      </c>
      <c r="D310">
        <v>60</v>
      </c>
      <c r="E310" s="166" t="s">
        <v>238</v>
      </c>
    </row>
    <row r="311" spans="1:5" x14ac:dyDescent="0.25">
      <c r="A311" s="165" t="s">
        <v>248</v>
      </c>
      <c r="B311" t="str">
        <f t="shared" si="9"/>
        <v>SlimFix RenoTwin Solar 6.73070</v>
      </c>
      <c r="C311">
        <v>30</v>
      </c>
      <c r="D311">
        <v>70</v>
      </c>
      <c r="E311" s="166" t="s">
        <v>239</v>
      </c>
    </row>
    <row r="312" spans="1:5" x14ac:dyDescent="0.25">
      <c r="A312" s="165" t="s">
        <v>249</v>
      </c>
      <c r="B312" t="str">
        <f t="shared" si="9"/>
        <v>SlimFix RenoTwin Solar 7.0022</v>
      </c>
      <c r="C312">
        <v>0</v>
      </c>
      <c r="D312">
        <v>22</v>
      </c>
      <c r="E312" s="168" t="s">
        <v>28</v>
      </c>
    </row>
    <row r="313" spans="1:5" x14ac:dyDescent="0.25">
      <c r="A313" s="165" t="s">
        <v>249</v>
      </c>
      <c r="B313" t="str">
        <f t="shared" si="9"/>
        <v>SlimFix RenoTwin Solar 7.0040</v>
      </c>
      <c r="C313">
        <v>0</v>
      </c>
      <c r="D313">
        <v>40</v>
      </c>
      <c r="E313" s="168" t="s">
        <v>237</v>
      </c>
    </row>
    <row r="314" spans="1:5" x14ac:dyDescent="0.25">
      <c r="A314" s="165" t="s">
        <v>249</v>
      </c>
      <c r="B314" t="str">
        <f t="shared" si="9"/>
        <v>SlimFix RenoTwin Solar 7.0050</v>
      </c>
      <c r="C314">
        <v>0</v>
      </c>
      <c r="D314">
        <v>50</v>
      </c>
      <c r="E314" s="168" t="s">
        <v>237</v>
      </c>
    </row>
    <row r="315" spans="1:5" x14ac:dyDescent="0.25">
      <c r="A315" s="165" t="s">
        <v>249</v>
      </c>
      <c r="B315" t="str">
        <f t="shared" si="9"/>
        <v>SlimFix RenoTwin Solar 7.0060</v>
      </c>
      <c r="C315">
        <v>0</v>
      </c>
      <c r="D315">
        <v>60</v>
      </c>
      <c r="E315" s="168" t="s">
        <v>238</v>
      </c>
    </row>
    <row r="316" spans="1:5" x14ac:dyDescent="0.25">
      <c r="A316" s="165" t="s">
        <v>249</v>
      </c>
      <c r="B316" t="str">
        <f t="shared" si="9"/>
        <v>SlimFix RenoTwin Solar 7.0070</v>
      </c>
      <c r="C316">
        <v>0</v>
      </c>
      <c r="D316">
        <v>70</v>
      </c>
      <c r="E316" s="168" t="s">
        <v>238</v>
      </c>
    </row>
    <row r="317" spans="1:5" x14ac:dyDescent="0.25">
      <c r="A317" s="165" t="s">
        <v>249</v>
      </c>
      <c r="B317" t="str">
        <f t="shared" si="9"/>
        <v>SlimFix RenoTwin Solar 7.02022</v>
      </c>
      <c r="C317">
        <v>20</v>
      </c>
      <c r="D317">
        <v>22</v>
      </c>
      <c r="E317" s="168" t="s">
        <v>237</v>
      </c>
    </row>
    <row r="318" spans="1:5" x14ac:dyDescent="0.25">
      <c r="A318" s="165" t="s">
        <v>249</v>
      </c>
      <c r="B318" t="str">
        <f t="shared" si="9"/>
        <v>SlimFix RenoTwin Solar 7.02040</v>
      </c>
      <c r="C318">
        <v>20</v>
      </c>
      <c r="D318">
        <v>40</v>
      </c>
      <c r="E318" s="168" t="s">
        <v>238</v>
      </c>
    </row>
    <row r="319" spans="1:5" x14ac:dyDescent="0.25">
      <c r="A319" s="165" t="s">
        <v>249</v>
      </c>
      <c r="B319" t="str">
        <f t="shared" si="9"/>
        <v>SlimFix RenoTwin Solar 7.02050</v>
      </c>
      <c r="C319">
        <v>20</v>
      </c>
      <c r="D319">
        <v>50</v>
      </c>
      <c r="E319" s="168" t="s">
        <v>238</v>
      </c>
    </row>
    <row r="320" spans="1:5" x14ac:dyDescent="0.25">
      <c r="A320" s="165" t="s">
        <v>249</v>
      </c>
      <c r="B320" t="str">
        <f t="shared" si="9"/>
        <v>SlimFix RenoTwin Solar 7.02060</v>
      </c>
      <c r="C320">
        <v>20</v>
      </c>
      <c r="D320">
        <v>60</v>
      </c>
      <c r="E320" s="168" t="s">
        <v>238</v>
      </c>
    </row>
    <row r="321" spans="1:5" x14ac:dyDescent="0.25">
      <c r="A321" s="165" t="s">
        <v>249</v>
      </c>
      <c r="B321" t="str">
        <f t="shared" si="9"/>
        <v>SlimFix RenoTwin Solar 7.02070</v>
      </c>
      <c r="C321">
        <v>20</v>
      </c>
      <c r="D321">
        <v>70</v>
      </c>
      <c r="E321" s="168" t="s">
        <v>239</v>
      </c>
    </row>
    <row r="322" spans="1:5" x14ac:dyDescent="0.25">
      <c r="A322" s="165" t="s">
        <v>249</v>
      </c>
      <c r="B322" t="str">
        <f t="shared" si="9"/>
        <v>SlimFix RenoTwin Solar 7.03022</v>
      </c>
      <c r="C322">
        <v>30</v>
      </c>
      <c r="D322">
        <v>22</v>
      </c>
      <c r="E322" s="168" t="s">
        <v>237</v>
      </c>
    </row>
    <row r="323" spans="1:5" x14ac:dyDescent="0.25">
      <c r="A323" s="165" t="s">
        <v>249</v>
      </c>
      <c r="B323" t="str">
        <f t="shared" si="9"/>
        <v>SlimFix RenoTwin Solar 7.03040</v>
      </c>
      <c r="C323">
        <v>30</v>
      </c>
      <c r="D323">
        <v>40</v>
      </c>
      <c r="E323" s="168" t="s">
        <v>238</v>
      </c>
    </row>
    <row r="324" spans="1:5" x14ac:dyDescent="0.25">
      <c r="A324" s="165" t="s">
        <v>249</v>
      </c>
      <c r="B324" t="str">
        <f t="shared" si="9"/>
        <v>SlimFix RenoTwin Solar 7.03050</v>
      </c>
      <c r="C324">
        <v>30</v>
      </c>
      <c r="D324">
        <v>50</v>
      </c>
      <c r="E324" s="168" t="s">
        <v>238</v>
      </c>
    </row>
    <row r="325" spans="1:5" x14ac:dyDescent="0.25">
      <c r="A325" s="165" t="s">
        <v>249</v>
      </c>
      <c r="B325" t="str">
        <f t="shared" si="9"/>
        <v>SlimFix RenoTwin Solar 7.03060</v>
      </c>
      <c r="C325">
        <v>30</v>
      </c>
      <c r="D325">
        <v>60</v>
      </c>
      <c r="E325" s="168" t="s">
        <v>239</v>
      </c>
    </row>
    <row r="326" spans="1:5" x14ac:dyDescent="0.25">
      <c r="A326" s="165" t="s">
        <v>249</v>
      </c>
      <c r="B326" t="str">
        <f t="shared" si="9"/>
        <v>SlimFix RenoTwin Solar 7.03070</v>
      </c>
      <c r="C326">
        <v>30</v>
      </c>
      <c r="D326">
        <v>70</v>
      </c>
      <c r="E326" s="168" t="s">
        <v>239</v>
      </c>
    </row>
    <row r="327" spans="1:5" x14ac:dyDescent="0.25">
      <c r="A327" s="165" t="s">
        <v>250</v>
      </c>
      <c r="B327" t="str">
        <f t="shared" si="9"/>
        <v>SlimFix RenoTwin Solar 8.0022</v>
      </c>
      <c r="C327">
        <v>0</v>
      </c>
      <c r="D327">
        <v>22</v>
      </c>
      <c r="E327" s="166" t="s">
        <v>28</v>
      </c>
    </row>
    <row r="328" spans="1:5" x14ac:dyDescent="0.25">
      <c r="A328" s="165" t="s">
        <v>250</v>
      </c>
      <c r="B328" t="str">
        <f t="shared" si="9"/>
        <v>SlimFix RenoTwin Solar 8.0040</v>
      </c>
      <c r="C328">
        <v>0</v>
      </c>
      <c r="D328">
        <v>40</v>
      </c>
      <c r="E328" s="166" t="s">
        <v>238</v>
      </c>
    </row>
    <row r="329" spans="1:5" x14ac:dyDescent="0.25">
      <c r="A329" s="165" t="s">
        <v>250</v>
      </c>
      <c r="B329" t="str">
        <f t="shared" si="9"/>
        <v>SlimFix RenoTwin Solar 8.0050</v>
      </c>
      <c r="C329">
        <v>0</v>
      </c>
      <c r="D329">
        <v>50</v>
      </c>
      <c r="E329" s="166" t="s">
        <v>239</v>
      </c>
    </row>
    <row r="330" spans="1:5" x14ac:dyDescent="0.25">
      <c r="A330" s="165" t="s">
        <v>250</v>
      </c>
      <c r="B330" t="str">
        <f t="shared" si="9"/>
        <v>SlimFix RenoTwin Solar 8.0060</v>
      </c>
      <c r="C330">
        <v>0</v>
      </c>
      <c r="D330">
        <v>60</v>
      </c>
      <c r="E330" s="166" t="s">
        <v>239</v>
      </c>
    </row>
    <row r="331" spans="1:5" x14ac:dyDescent="0.25">
      <c r="A331" s="165" t="s">
        <v>250</v>
      </c>
      <c r="B331" t="str">
        <f t="shared" si="9"/>
        <v>SlimFix RenoTwin Solar 8.0070</v>
      </c>
      <c r="C331">
        <v>0</v>
      </c>
      <c r="D331">
        <v>70</v>
      </c>
      <c r="E331" s="166" t="s">
        <v>239</v>
      </c>
    </row>
    <row r="332" spans="1:5" x14ac:dyDescent="0.25">
      <c r="A332" s="165" t="s">
        <v>250</v>
      </c>
      <c r="B332" t="str">
        <f t="shared" si="9"/>
        <v>SlimFix RenoTwin Solar 8.02022</v>
      </c>
      <c r="C332">
        <v>20</v>
      </c>
      <c r="D332">
        <v>22</v>
      </c>
      <c r="E332" s="166" t="s">
        <v>238</v>
      </c>
    </row>
    <row r="333" spans="1:5" x14ac:dyDescent="0.25">
      <c r="A333" s="165" t="s">
        <v>250</v>
      </c>
      <c r="B333" t="str">
        <f t="shared" si="9"/>
        <v>SlimFix RenoTwin Solar 8.02040</v>
      </c>
      <c r="C333">
        <v>20</v>
      </c>
      <c r="D333">
        <v>40</v>
      </c>
      <c r="E333" s="166" t="s">
        <v>239</v>
      </c>
    </row>
    <row r="334" spans="1:5" x14ac:dyDescent="0.25">
      <c r="A334" s="165" t="s">
        <v>250</v>
      </c>
      <c r="B334" t="str">
        <f t="shared" si="9"/>
        <v>SlimFix RenoTwin Solar 8.02050</v>
      </c>
      <c r="C334">
        <v>20</v>
      </c>
      <c r="D334">
        <v>50</v>
      </c>
      <c r="E334" s="166" t="s">
        <v>239</v>
      </c>
    </row>
    <row r="335" spans="1:5" x14ac:dyDescent="0.25">
      <c r="A335" s="165" t="s">
        <v>250</v>
      </c>
      <c r="B335" t="str">
        <f t="shared" si="9"/>
        <v>SlimFix RenoTwin Solar 8.02060</v>
      </c>
      <c r="C335">
        <v>20</v>
      </c>
      <c r="D335">
        <v>60</v>
      </c>
      <c r="E335" s="166" t="s">
        <v>239</v>
      </c>
    </row>
    <row r="336" spans="1:5" x14ac:dyDescent="0.25">
      <c r="A336" s="165" t="s">
        <v>250</v>
      </c>
      <c r="B336" t="str">
        <f t="shared" si="9"/>
        <v>SlimFix RenoTwin Solar 8.02070</v>
      </c>
      <c r="C336">
        <v>20</v>
      </c>
      <c r="D336">
        <v>70</v>
      </c>
      <c r="E336" s="166" t="s">
        <v>239</v>
      </c>
    </row>
    <row r="337" spans="1:5" x14ac:dyDescent="0.25">
      <c r="A337" s="165" t="s">
        <v>250</v>
      </c>
      <c r="B337" t="str">
        <f t="shared" si="9"/>
        <v>SlimFix RenoTwin Solar 8.03022</v>
      </c>
      <c r="C337">
        <v>30</v>
      </c>
      <c r="D337">
        <v>22</v>
      </c>
      <c r="E337" s="166" t="s">
        <v>239</v>
      </c>
    </row>
    <row r="338" spans="1:5" x14ac:dyDescent="0.25">
      <c r="A338" s="165" t="s">
        <v>250</v>
      </c>
      <c r="B338" t="str">
        <f t="shared" si="9"/>
        <v>SlimFix RenoTwin Solar 8.03040</v>
      </c>
      <c r="C338">
        <v>30</v>
      </c>
      <c r="D338">
        <v>40</v>
      </c>
      <c r="E338" s="166" t="s">
        <v>239</v>
      </c>
    </row>
    <row r="339" spans="1:5" x14ac:dyDescent="0.25">
      <c r="A339" s="165" t="s">
        <v>250</v>
      </c>
      <c r="B339" t="str">
        <f t="shared" si="9"/>
        <v>SlimFix RenoTwin Solar 8.03050</v>
      </c>
      <c r="C339">
        <v>30</v>
      </c>
      <c r="D339">
        <v>50</v>
      </c>
      <c r="E339" s="166" t="s">
        <v>230</v>
      </c>
    </row>
    <row r="340" spans="1:5" x14ac:dyDescent="0.25">
      <c r="A340" s="165" t="s">
        <v>250</v>
      </c>
      <c r="B340" t="str">
        <f t="shared" si="9"/>
        <v>SlimFix RenoTwin Solar 8.03060</v>
      </c>
      <c r="C340">
        <v>30</v>
      </c>
      <c r="D340">
        <v>60</v>
      </c>
      <c r="E340" s="166" t="s">
        <v>230</v>
      </c>
    </row>
    <row r="341" spans="1:5" x14ac:dyDescent="0.25">
      <c r="A341" s="165" t="s">
        <v>250</v>
      </c>
      <c r="B341" t="str">
        <f t="shared" si="9"/>
        <v>SlimFix RenoTwin Solar 8.03070</v>
      </c>
      <c r="C341">
        <v>30</v>
      </c>
      <c r="D341">
        <v>70</v>
      </c>
      <c r="E341" s="166" t="s">
        <v>230</v>
      </c>
    </row>
    <row r="342" spans="1:5" x14ac:dyDescent="0.25">
      <c r="A342" s="165" t="s">
        <v>251</v>
      </c>
      <c r="B342" t="str">
        <f t="shared" si="9"/>
        <v>SlimFix RenoTwin Solar 9.0022</v>
      </c>
      <c r="C342">
        <v>0</v>
      </c>
      <c r="D342">
        <v>22</v>
      </c>
      <c r="E342" s="168" t="s">
        <v>28</v>
      </c>
    </row>
    <row r="343" spans="1:5" x14ac:dyDescent="0.25">
      <c r="A343" s="165" t="s">
        <v>251</v>
      </c>
      <c r="B343" t="str">
        <f t="shared" si="9"/>
        <v>SlimFix RenoTwin Solar 9.0040</v>
      </c>
      <c r="C343">
        <v>0</v>
      </c>
      <c r="D343">
        <v>40</v>
      </c>
      <c r="E343" s="168" t="s">
        <v>239</v>
      </c>
    </row>
    <row r="344" spans="1:5" x14ac:dyDescent="0.25">
      <c r="A344" s="165" t="s">
        <v>251</v>
      </c>
      <c r="B344" t="str">
        <f t="shared" si="9"/>
        <v>SlimFix RenoTwin Solar 9.0050</v>
      </c>
      <c r="C344">
        <v>0</v>
      </c>
      <c r="D344">
        <v>50</v>
      </c>
      <c r="E344" s="168" t="s">
        <v>230</v>
      </c>
    </row>
    <row r="345" spans="1:5" x14ac:dyDescent="0.25">
      <c r="A345" s="165" t="s">
        <v>251</v>
      </c>
      <c r="B345" t="str">
        <f t="shared" si="9"/>
        <v>SlimFix RenoTwin Solar 9.0060</v>
      </c>
      <c r="C345">
        <v>0</v>
      </c>
      <c r="D345">
        <v>60</v>
      </c>
      <c r="E345" s="168" t="s">
        <v>230</v>
      </c>
    </row>
    <row r="346" spans="1:5" x14ac:dyDescent="0.25">
      <c r="A346" s="165" t="s">
        <v>251</v>
      </c>
      <c r="B346" t="str">
        <f t="shared" si="9"/>
        <v>SlimFix RenoTwin Solar 9.0070</v>
      </c>
      <c r="C346">
        <v>0</v>
      </c>
      <c r="D346">
        <v>70</v>
      </c>
      <c r="E346" s="168" t="s">
        <v>230</v>
      </c>
    </row>
    <row r="347" spans="1:5" x14ac:dyDescent="0.25">
      <c r="A347" s="165" t="s">
        <v>251</v>
      </c>
      <c r="B347" t="str">
        <f t="shared" ref="B347:B356" si="10">CONCATENATE(A347&amp;C347&amp;D347)</f>
        <v>SlimFix RenoTwin Solar 9.02022</v>
      </c>
      <c r="C347">
        <v>20</v>
      </c>
      <c r="D347">
        <v>22</v>
      </c>
      <c r="E347" s="168" t="s">
        <v>239</v>
      </c>
    </row>
    <row r="348" spans="1:5" x14ac:dyDescent="0.25">
      <c r="A348" s="165" t="s">
        <v>251</v>
      </c>
      <c r="B348" t="str">
        <f t="shared" si="10"/>
        <v>SlimFix RenoTwin Solar 9.02040</v>
      </c>
      <c r="C348">
        <v>20</v>
      </c>
      <c r="D348">
        <v>40</v>
      </c>
      <c r="E348" s="168" t="s">
        <v>230</v>
      </c>
    </row>
    <row r="349" spans="1:5" x14ac:dyDescent="0.25">
      <c r="A349" s="165" t="s">
        <v>251</v>
      </c>
      <c r="B349" t="str">
        <f t="shared" si="10"/>
        <v>SlimFix RenoTwin Solar 9.02050</v>
      </c>
      <c r="C349">
        <v>20</v>
      </c>
      <c r="D349">
        <v>50</v>
      </c>
      <c r="E349" s="168" t="s">
        <v>230</v>
      </c>
    </row>
    <row r="350" spans="1:5" x14ac:dyDescent="0.25">
      <c r="A350" s="165" t="s">
        <v>251</v>
      </c>
      <c r="B350" t="str">
        <f t="shared" si="10"/>
        <v>SlimFix RenoTwin Solar 9.02060</v>
      </c>
      <c r="C350">
        <v>20</v>
      </c>
      <c r="D350">
        <v>60</v>
      </c>
      <c r="E350" s="168" t="s">
        <v>232</v>
      </c>
    </row>
    <row r="351" spans="1:5" x14ac:dyDescent="0.25">
      <c r="A351" s="165" t="s">
        <v>251</v>
      </c>
      <c r="B351" t="str">
        <f t="shared" si="10"/>
        <v>SlimFix RenoTwin Solar 9.02070</v>
      </c>
      <c r="C351">
        <v>20</v>
      </c>
      <c r="D351">
        <v>70</v>
      </c>
      <c r="E351" s="168" t="s">
        <v>232</v>
      </c>
    </row>
    <row r="352" spans="1:5" x14ac:dyDescent="0.25">
      <c r="A352" s="165" t="s">
        <v>251</v>
      </c>
      <c r="B352" t="str">
        <f t="shared" si="10"/>
        <v>SlimFix RenoTwin Solar 9.03022</v>
      </c>
      <c r="C352">
        <v>30</v>
      </c>
      <c r="D352">
        <v>22</v>
      </c>
      <c r="E352" s="168" t="s">
        <v>230</v>
      </c>
    </row>
    <row r="353" spans="1:5" x14ac:dyDescent="0.25">
      <c r="A353" s="165" t="s">
        <v>251</v>
      </c>
      <c r="B353" t="str">
        <f t="shared" si="10"/>
        <v>SlimFix RenoTwin Solar 9.03040</v>
      </c>
      <c r="C353">
        <v>30</v>
      </c>
      <c r="D353">
        <v>40</v>
      </c>
      <c r="E353" s="168" t="s">
        <v>230</v>
      </c>
    </row>
    <row r="354" spans="1:5" x14ac:dyDescent="0.25">
      <c r="A354" s="165" t="s">
        <v>251</v>
      </c>
      <c r="B354" t="str">
        <f t="shared" si="10"/>
        <v>SlimFix RenoTwin Solar 9.03050</v>
      </c>
      <c r="C354">
        <v>30</v>
      </c>
      <c r="D354">
        <v>50</v>
      </c>
      <c r="E354" s="168" t="s">
        <v>232</v>
      </c>
    </row>
    <row r="355" spans="1:5" x14ac:dyDescent="0.25">
      <c r="A355" s="165" t="s">
        <v>251</v>
      </c>
      <c r="B355" t="str">
        <f t="shared" si="10"/>
        <v>SlimFix RenoTwin Solar 9.03060</v>
      </c>
      <c r="C355">
        <v>30</v>
      </c>
      <c r="D355">
        <v>60</v>
      </c>
      <c r="E355" s="168" t="s">
        <v>232</v>
      </c>
    </row>
    <row r="356" spans="1:5" x14ac:dyDescent="0.25">
      <c r="A356" s="165" t="s">
        <v>251</v>
      </c>
      <c r="B356" t="str">
        <f t="shared" si="10"/>
        <v>SlimFix RenoTwin Solar 9.03070</v>
      </c>
      <c r="C356">
        <v>30</v>
      </c>
      <c r="D356">
        <v>70</v>
      </c>
      <c r="E356" s="168" t="s">
        <v>232</v>
      </c>
    </row>
  </sheetData>
  <autoFilter ref="A4:I15" xr:uid="{00000000-0009-0000-0000-000000000000}"/>
  <mergeCells count="1">
    <mergeCell ref="A18:K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B11D-F7F8-405A-B5B1-EB861420CBA4}">
  <dimension ref="A1:U47"/>
  <sheetViews>
    <sheetView showGridLines="0" tabSelected="1" zoomScaleNormal="100" workbookViewId="0">
      <selection activeCell="O25" sqref="O25"/>
    </sheetView>
  </sheetViews>
  <sheetFormatPr defaultRowHeight="15" x14ac:dyDescent="0.25"/>
  <cols>
    <col min="1" max="1" width="2.7109375" customWidth="1"/>
    <col min="2" max="2" width="13.140625" customWidth="1"/>
    <col min="3" max="3" width="10.28515625" customWidth="1"/>
    <col min="4" max="4" width="10.7109375" customWidth="1"/>
    <col min="7" max="7" width="12.85546875" customWidth="1"/>
    <col min="12" max="12" width="11" customWidth="1"/>
    <col min="13" max="13" width="3" customWidth="1"/>
    <col min="20" max="20" width="6.85546875" customWidth="1"/>
    <col min="21" max="21" width="9.140625" hidden="1" customWidth="1"/>
  </cols>
  <sheetData>
    <row r="1" spans="1:21" x14ac:dyDescent="0.25">
      <c r="A1" s="17"/>
      <c r="B1" s="17"/>
      <c r="C1" s="17"/>
      <c r="D1" s="17"/>
      <c r="E1" s="17"/>
      <c r="F1" s="17"/>
      <c r="G1" s="17"/>
      <c r="H1" s="17"/>
      <c r="I1" s="17"/>
      <c r="J1" s="17"/>
      <c r="K1" s="17"/>
      <c r="L1" s="17"/>
      <c r="M1" s="17"/>
      <c r="N1" s="17"/>
      <c r="O1" s="17"/>
      <c r="P1" s="17"/>
      <c r="Q1" s="17"/>
      <c r="R1" s="17"/>
      <c r="S1" s="17"/>
      <c r="T1" s="17"/>
      <c r="U1" s="17"/>
    </row>
    <row r="2" spans="1:21" ht="27.75" x14ac:dyDescent="0.4">
      <c r="A2" s="17"/>
      <c r="B2" s="177" t="s">
        <v>203</v>
      </c>
      <c r="C2" s="11"/>
      <c r="D2" s="11"/>
      <c r="E2" s="11"/>
      <c r="F2" s="11"/>
      <c r="G2" s="11"/>
      <c r="H2" s="11"/>
      <c r="I2" s="11"/>
      <c r="J2" s="11"/>
      <c r="K2" s="11"/>
      <c r="L2" s="11"/>
      <c r="M2" s="17"/>
      <c r="N2" s="17"/>
      <c r="O2" s="17"/>
      <c r="P2" s="17"/>
      <c r="Q2" s="17"/>
      <c r="R2" s="17"/>
      <c r="S2" s="17"/>
      <c r="T2" s="17"/>
      <c r="U2" s="17"/>
    </row>
    <row r="3" spans="1:21" x14ac:dyDescent="0.25">
      <c r="A3" s="17"/>
      <c r="B3" s="11" t="s">
        <v>301</v>
      </c>
      <c r="C3" s="11"/>
      <c r="D3" s="11"/>
      <c r="E3" s="11"/>
      <c r="F3" s="11"/>
      <c r="G3" s="11"/>
      <c r="H3" s="11"/>
      <c r="I3" s="11"/>
      <c r="J3" s="11"/>
      <c r="K3" s="11"/>
      <c r="L3" s="11"/>
      <c r="M3" s="17"/>
      <c r="N3" s="17"/>
      <c r="O3" s="17"/>
      <c r="P3" s="17"/>
      <c r="Q3" s="17"/>
      <c r="R3" s="17"/>
      <c r="S3" s="17"/>
      <c r="T3" s="17"/>
      <c r="U3" s="17"/>
    </row>
    <row r="4" spans="1:21" x14ac:dyDescent="0.25">
      <c r="A4" s="17"/>
      <c r="B4" s="11" t="s">
        <v>302</v>
      </c>
      <c r="C4" s="11"/>
      <c r="D4" s="11"/>
      <c r="E4" s="11"/>
      <c r="F4" s="11"/>
      <c r="G4" s="11"/>
      <c r="H4" s="11"/>
      <c r="I4" s="11"/>
      <c r="J4" s="11"/>
      <c r="K4" s="11"/>
      <c r="L4" s="11"/>
      <c r="M4" s="17"/>
      <c r="N4" s="17"/>
      <c r="O4" s="17"/>
      <c r="P4" s="17"/>
      <c r="Q4" s="17"/>
      <c r="R4" s="17"/>
      <c r="S4" s="17"/>
      <c r="T4" s="17"/>
      <c r="U4" s="17"/>
    </row>
    <row r="5" spans="1:21" x14ac:dyDescent="0.25">
      <c r="A5" s="17"/>
      <c r="B5" s="11" t="s">
        <v>303</v>
      </c>
      <c r="C5" s="11"/>
      <c r="D5" s="11"/>
      <c r="E5" s="11"/>
      <c r="F5" s="11"/>
      <c r="G5" s="11"/>
      <c r="H5" s="11"/>
      <c r="I5" s="11"/>
      <c r="J5" s="11"/>
      <c r="K5" s="11"/>
      <c r="L5" s="11"/>
      <c r="M5" s="17"/>
      <c r="N5" s="17"/>
      <c r="O5" s="17"/>
      <c r="P5" s="17"/>
      <c r="Q5" s="17"/>
      <c r="R5" s="17"/>
      <c r="S5" s="17"/>
      <c r="T5" s="17"/>
      <c r="U5" s="17"/>
    </row>
    <row r="6" spans="1:21" x14ac:dyDescent="0.25">
      <c r="A6" s="17"/>
      <c r="B6" s="11" t="s">
        <v>175</v>
      </c>
      <c r="C6" s="11"/>
      <c r="D6" s="11"/>
      <c r="E6" s="11"/>
      <c r="F6" s="11"/>
      <c r="G6" s="11"/>
      <c r="H6" s="11"/>
      <c r="I6" s="11"/>
      <c r="J6" s="11"/>
      <c r="K6" s="11"/>
      <c r="L6" s="11"/>
      <c r="M6" s="17"/>
      <c r="N6" s="17"/>
      <c r="O6" s="17"/>
      <c r="P6" s="17"/>
      <c r="Q6" s="17"/>
      <c r="R6" s="17"/>
      <c r="S6" s="17"/>
      <c r="T6" s="17"/>
      <c r="U6" s="17"/>
    </row>
    <row r="7" spans="1:21" x14ac:dyDescent="0.25">
      <c r="A7" s="17"/>
      <c r="B7" s="11" t="s">
        <v>304</v>
      </c>
      <c r="C7" s="11"/>
      <c r="D7" s="11"/>
      <c r="E7" s="11"/>
      <c r="F7" s="11"/>
      <c r="G7" s="11"/>
      <c r="H7" s="11"/>
      <c r="I7" s="11"/>
      <c r="J7" s="11"/>
      <c r="K7" s="11"/>
      <c r="L7" s="11"/>
      <c r="M7" s="17"/>
      <c r="N7" s="17"/>
      <c r="O7" s="17"/>
      <c r="P7" s="17"/>
      <c r="Q7" s="17"/>
      <c r="R7" s="17"/>
      <c r="S7" s="17"/>
      <c r="T7" s="17"/>
      <c r="U7" s="17"/>
    </row>
    <row r="8" spans="1:21" ht="6" customHeight="1" x14ac:dyDescent="0.25">
      <c r="A8" s="17"/>
      <c r="B8" s="11"/>
      <c r="C8" s="11"/>
      <c r="D8" s="11"/>
      <c r="E8" s="11"/>
      <c r="F8" s="11"/>
      <c r="G8" s="11"/>
      <c r="H8" s="11"/>
      <c r="I8" s="11"/>
      <c r="J8" s="11"/>
      <c r="K8" s="11"/>
      <c r="L8" s="11"/>
      <c r="M8" s="17"/>
      <c r="N8" s="17"/>
      <c r="O8" s="17"/>
      <c r="P8" s="17"/>
      <c r="Q8" s="17"/>
      <c r="R8" s="17"/>
      <c r="S8" s="17"/>
      <c r="T8" s="17"/>
      <c r="U8" s="17"/>
    </row>
    <row r="9" spans="1:21" x14ac:dyDescent="0.25">
      <c r="A9" s="17"/>
      <c r="B9" s="147" t="s">
        <v>269</v>
      </c>
      <c r="C9" s="147"/>
      <c r="D9" s="147"/>
      <c r="E9" s="147"/>
      <c r="F9" s="147"/>
      <c r="G9" s="147"/>
      <c r="H9" s="147"/>
      <c r="I9" s="147"/>
      <c r="J9" s="147"/>
      <c r="K9" s="147"/>
      <c r="L9" s="147"/>
      <c r="M9" s="17"/>
      <c r="N9" s="17"/>
      <c r="O9" s="17"/>
      <c r="P9" s="17"/>
      <c r="Q9" s="17"/>
      <c r="R9" s="17"/>
      <c r="S9" s="17"/>
      <c r="T9" s="17"/>
      <c r="U9" s="17"/>
    </row>
    <row r="10" spans="1:21" ht="9.75" customHeight="1" x14ac:dyDescent="0.25">
      <c r="A10" s="17"/>
      <c r="M10" s="17"/>
      <c r="N10" s="17"/>
      <c r="O10" s="17"/>
      <c r="P10" s="17"/>
      <c r="Q10" s="17"/>
      <c r="R10" s="17"/>
      <c r="S10" s="17"/>
      <c r="T10" s="17"/>
      <c r="U10" s="17"/>
    </row>
    <row r="11" spans="1:21" x14ac:dyDescent="0.25">
      <c r="A11" s="17"/>
      <c r="M11" s="17"/>
      <c r="N11" s="17"/>
      <c r="O11" s="17"/>
      <c r="P11" s="17"/>
      <c r="Q11" s="17"/>
      <c r="R11" s="17"/>
      <c r="S11" s="17"/>
      <c r="T11" s="17"/>
      <c r="U11" s="17"/>
    </row>
    <row r="12" spans="1:21" x14ac:dyDescent="0.25">
      <c r="A12" s="17"/>
      <c r="M12" s="17"/>
      <c r="N12" s="17"/>
      <c r="O12" s="17"/>
      <c r="P12" s="17"/>
      <c r="Q12" s="17"/>
      <c r="R12" s="17"/>
      <c r="S12" s="17"/>
      <c r="T12" s="17"/>
      <c r="U12" s="17"/>
    </row>
    <row r="13" spans="1:21" x14ac:dyDescent="0.25">
      <c r="A13" s="17"/>
      <c r="M13" s="17"/>
      <c r="N13" s="17"/>
      <c r="O13" s="17"/>
      <c r="P13" s="17"/>
      <c r="Q13" s="17"/>
      <c r="R13" s="17"/>
      <c r="S13" s="17"/>
      <c r="T13" s="17"/>
      <c r="U13" s="17"/>
    </row>
    <row r="14" spans="1:21" x14ac:dyDescent="0.25">
      <c r="A14" s="17"/>
      <c r="F14" s="146"/>
      <c r="M14" s="17"/>
      <c r="N14" s="17"/>
      <c r="O14" s="17"/>
      <c r="P14" s="17"/>
      <c r="Q14" s="17"/>
      <c r="R14" s="17"/>
      <c r="S14" s="17"/>
      <c r="T14" s="17"/>
      <c r="U14" s="17"/>
    </row>
    <row r="15" spans="1:21" x14ac:dyDescent="0.25">
      <c r="A15" s="17"/>
      <c r="M15" s="17"/>
      <c r="N15" s="17"/>
      <c r="O15" s="17"/>
      <c r="P15" s="17"/>
      <c r="Q15" s="17"/>
      <c r="R15" s="17"/>
      <c r="S15" s="17"/>
      <c r="T15" s="17"/>
      <c r="U15" s="17"/>
    </row>
    <row r="16" spans="1:21" x14ac:dyDescent="0.25">
      <c r="A16" s="17"/>
      <c r="M16" s="17"/>
      <c r="N16" s="17"/>
      <c r="O16" s="17"/>
      <c r="P16" s="17"/>
      <c r="Q16" s="17"/>
      <c r="R16" s="17"/>
      <c r="S16" s="17"/>
      <c r="T16" s="17"/>
      <c r="U16" s="17"/>
    </row>
    <row r="17" spans="1:21" x14ac:dyDescent="0.25">
      <c r="A17" s="17"/>
      <c r="M17" s="17"/>
      <c r="N17" s="17"/>
      <c r="O17" s="17"/>
      <c r="P17" s="17"/>
      <c r="Q17" s="17"/>
      <c r="R17" s="17"/>
      <c r="S17" s="17"/>
      <c r="T17" s="17"/>
      <c r="U17" s="17"/>
    </row>
    <row r="18" spans="1:21" x14ac:dyDescent="0.25">
      <c r="A18" s="17"/>
      <c r="M18" s="17"/>
      <c r="N18" s="17"/>
      <c r="O18" s="17"/>
      <c r="P18" s="17"/>
      <c r="Q18" s="17"/>
      <c r="R18" s="17"/>
      <c r="S18" s="17"/>
      <c r="T18" s="17"/>
      <c r="U18" s="17"/>
    </row>
    <row r="19" spans="1:21" x14ac:dyDescent="0.25">
      <c r="A19" s="17"/>
      <c r="M19" s="17"/>
      <c r="N19" s="17"/>
      <c r="O19" s="17"/>
      <c r="P19" s="17"/>
      <c r="Q19" s="17"/>
      <c r="R19" s="17"/>
      <c r="S19" s="17"/>
      <c r="T19" s="17"/>
      <c r="U19" s="17"/>
    </row>
    <row r="20" spans="1:21" x14ac:dyDescent="0.25">
      <c r="A20" s="17"/>
      <c r="M20" s="17"/>
      <c r="N20" s="17"/>
      <c r="O20" s="17"/>
      <c r="P20" s="17"/>
      <c r="Q20" s="17"/>
      <c r="R20" s="17"/>
      <c r="S20" s="17"/>
      <c r="T20" s="17"/>
      <c r="U20" s="17"/>
    </row>
    <row r="21" spans="1:21" x14ac:dyDescent="0.25">
      <c r="A21" s="17"/>
      <c r="M21" s="17"/>
      <c r="N21" s="17"/>
      <c r="O21" s="17"/>
      <c r="P21" s="17"/>
      <c r="Q21" s="17"/>
      <c r="R21" s="17"/>
      <c r="S21" s="17"/>
      <c r="T21" s="17"/>
      <c r="U21" s="17"/>
    </row>
    <row r="22" spans="1:21" ht="6" customHeight="1" x14ac:dyDescent="0.25">
      <c r="A22" s="17"/>
      <c r="M22" s="17"/>
      <c r="N22" s="17"/>
      <c r="O22" s="17"/>
      <c r="P22" s="17"/>
      <c r="Q22" s="17"/>
      <c r="R22" s="17"/>
      <c r="S22" s="17"/>
      <c r="T22" s="17"/>
      <c r="U22" s="17"/>
    </row>
    <row r="23" spans="1:21" x14ac:dyDescent="0.25">
      <c r="A23" s="17"/>
      <c r="M23" s="17"/>
      <c r="N23" s="17"/>
      <c r="O23" s="17"/>
      <c r="P23" s="17"/>
      <c r="Q23" s="17"/>
      <c r="R23" s="17"/>
      <c r="S23" s="17"/>
      <c r="T23" s="17"/>
      <c r="U23" s="17"/>
    </row>
    <row r="24" spans="1:21" x14ac:dyDescent="0.25">
      <c r="A24" s="17"/>
      <c r="M24" s="17"/>
      <c r="N24" s="17"/>
      <c r="O24" s="17"/>
      <c r="P24" s="17"/>
      <c r="Q24" s="17"/>
      <c r="R24" s="17"/>
      <c r="S24" s="17"/>
      <c r="T24" s="17"/>
      <c r="U24" s="17"/>
    </row>
    <row r="25" spans="1:21" x14ac:dyDescent="0.25">
      <c r="A25" s="17"/>
      <c r="M25" s="17"/>
      <c r="N25" s="17"/>
      <c r="O25" s="17"/>
      <c r="P25" s="17"/>
      <c r="Q25" s="17"/>
      <c r="R25" s="17"/>
      <c r="S25" s="17"/>
      <c r="T25" s="17"/>
      <c r="U25" s="17"/>
    </row>
    <row r="26" spans="1:21" x14ac:dyDescent="0.25">
      <c r="A26" s="17"/>
      <c r="M26" s="17"/>
      <c r="N26" s="17"/>
      <c r="O26" s="17"/>
      <c r="P26" s="17"/>
      <c r="Q26" s="17"/>
      <c r="R26" s="17"/>
      <c r="S26" s="17"/>
      <c r="T26" s="17"/>
      <c r="U26" s="17"/>
    </row>
    <row r="27" spans="1:21" x14ac:dyDescent="0.25">
      <c r="A27" s="17"/>
      <c r="M27" s="17"/>
      <c r="N27" s="17"/>
      <c r="O27" s="17"/>
      <c r="P27" s="17"/>
      <c r="Q27" s="17"/>
      <c r="R27" s="17"/>
      <c r="S27" s="17"/>
      <c r="T27" s="17"/>
      <c r="U27" s="17"/>
    </row>
    <row r="28" spans="1:21" x14ac:dyDescent="0.25">
      <c r="A28" s="17"/>
      <c r="M28" s="17"/>
      <c r="N28" s="17"/>
      <c r="O28" s="17"/>
      <c r="P28" s="17"/>
      <c r="Q28" s="17"/>
      <c r="R28" s="17"/>
      <c r="S28" s="17"/>
      <c r="T28" s="17"/>
      <c r="U28" s="17"/>
    </row>
    <row r="29" spans="1:21" x14ac:dyDescent="0.25">
      <c r="A29" s="17"/>
      <c r="M29" s="17"/>
      <c r="N29" s="17"/>
      <c r="O29" s="17"/>
      <c r="P29" s="17"/>
      <c r="Q29" s="17"/>
      <c r="R29" s="17"/>
      <c r="S29" s="17"/>
      <c r="T29" s="17"/>
      <c r="U29" s="17"/>
    </row>
    <row r="30" spans="1:21" x14ac:dyDescent="0.25">
      <c r="A30" s="17"/>
      <c r="M30" s="17"/>
      <c r="N30" s="17"/>
      <c r="O30" s="17"/>
      <c r="P30" s="17"/>
      <c r="Q30" s="17"/>
      <c r="R30" s="17"/>
      <c r="S30" s="17"/>
      <c r="T30" s="17"/>
      <c r="U30" s="17"/>
    </row>
    <row r="31" spans="1:21" x14ac:dyDescent="0.25">
      <c r="A31" s="17"/>
      <c r="M31" s="17"/>
      <c r="N31" s="17"/>
      <c r="O31" s="17"/>
      <c r="P31" s="17"/>
      <c r="Q31" s="17"/>
      <c r="R31" s="17"/>
      <c r="S31" s="17"/>
      <c r="T31" s="17"/>
      <c r="U31" s="17"/>
    </row>
    <row r="32" spans="1:21" x14ac:dyDescent="0.25">
      <c r="A32" s="17"/>
      <c r="M32" s="17"/>
      <c r="N32" s="17"/>
      <c r="O32" s="17"/>
      <c r="P32" s="17"/>
      <c r="Q32" s="17"/>
      <c r="R32" s="17"/>
      <c r="S32" s="17"/>
      <c r="T32" s="17"/>
      <c r="U32" s="17"/>
    </row>
    <row r="33" spans="1:21" x14ac:dyDescent="0.25">
      <c r="A33" s="17"/>
      <c r="B33" s="178"/>
      <c r="C33" s="178"/>
      <c r="D33" s="178"/>
      <c r="E33" s="178"/>
      <c r="F33" s="178"/>
      <c r="G33" s="178"/>
      <c r="H33" s="178"/>
      <c r="I33" s="178"/>
      <c r="J33" s="178"/>
      <c r="K33" s="178"/>
      <c r="L33" s="178"/>
      <c r="M33" s="17"/>
      <c r="N33" s="17"/>
      <c r="O33" s="17"/>
      <c r="P33" s="17"/>
      <c r="Q33" s="17"/>
      <c r="R33" s="17"/>
      <c r="S33" s="17"/>
      <c r="T33" s="17"/>
      <c r="U33" s="17"/>
    </row>
    <row r="34" spans="1:21" x14ac:dyDescent="0.25">
      <c r="A34" s="17"/>
      <c r="B34" s="17"/>
      <c r="C34" s="17"/>
      <c r="D34" s="17"/>
      <c r="E34" s="17"/>
      <c r="F34" s="17"/>
      <c r="G34" s="17"/>
      <c r="H34" s="17"/>
      <c r="I34" s="17"/>
      <c r="J34" s="17"/>
      <c r="K34" s="17"/>
      <c r="L34" s="17"/>
      <c r="M34" s="17"/>
      <c r="N34" s="17"/>
      <c r="O34" s="17"/>
      <c r="P34" s="17"/>
      <c r="Q34" s="17"/>
      <c r="R34" s="17"/>
      <c r="S34" s="17"/>
      <c r="T34" s="17"/>
      <c r="U34" s="17"/>
    </row>
    <row r="35" spans="1:21" x14ac:dyDescent="0.25">
      <c r="A35" s="17"/>
      <c r="B35" s="17"/>
      <c r="C35" s="17"/>
      <c r="D35" s="17"/>
      <c r="E35" s="17"/>
      <c r="F35" s="17"/>
      <c r="G35" s="17"/>
      <c r="H35" s="17"/>
      <c r="I35" s="17"/>
      <c r="J35" s="17"/>
      <c r="K35" s="17"/>
      <c r="L35" s="17"/>
      <c r="M35" s="17"/>
      <c r="N35" s="17"/>
      <c r="O35" s="17"/>
      <c r="P35" s="17"/>
      <c r="Q35" s="17"/>
      <c r="R35" s="17"/>
      <c r="S35" s="17"/>
      <c r="T35" s="17"/>
      <c r="U35" s="17"/>
    </row>
    <row r="36" spans="1:21" x14ac:dyDescent="0.25">
      <c r="A36" s="17"/>
      <c r="B36" s="17"/>
      <c r="C36" s="17"/>
      <c r="D36" s="17"/>
      <c r="E36" s="17"/>
      <c r="F36" s="17"/>
      <c r="G36" s="17"/>
      <c r="H36" s="17"/>
      <c r="I36" s="17"/>
      <c r="J36" s="17"/>
      <c r="K36" s="17"/>
      <c r="L36" s="17"/>
      <c r="M36" s="17"/>
      <c r="N36" s="17"/>
      <c r="O36" s="17"/>
      <c r="P36" s="17"/>
      <c r="Q36" s="17"/>
      <c r="R36" s="17"/>
      <c r="S36" s="17"/>
      <c r="T36" s="17"/>
      <c r="U36" s="17"/>
    </row>
    <row r="37" spans="1:21" x14ac:dyDescent="0.25">
      <c r="A37" s="17"/>
      <c r="B37" s="17"/>
      <c r="C37" s="17"/>
      <c r="D37" s="17"/>
      <c r="E37" s="17"/>
      <c r="F37" s="17"/>
      <c r="G37" s="17"/>
      <c r="H37" s="17"/>
      <c r="I37" s="17"/>
      <c r="J37" s="17"/>
      <c r="K37" s="17"/>
      <c r="L37" s="17"/>
      <c r="M37" s="17"/>
      <c r="N37" s="17"/>
      <c r="O37" s="17"/>
      <c r="P37" s="17"/>
      <c r="Q37" s="17"/>
      <c r="R37" s="17"/>
      <c r="S37" s="17"/>
      <c r="T37" s="17"/>
      <c r="U37" s="17"/>
    </row>
    <row r="38" spans="1:21" x14ac:dyDescent="0.25">
      <c r="A38" s="17"/>
      <c r="B38" s="17"/>
      <c r="C38" s="17"/>
      <c r="D38" s="17"/>
      <c r="E38" s="17"/>
      <c r="F38" s="17"/>
      <c r="G38" s="17"/>
      <c r="H38" s="17"/>
      <c r="I38" s="17"/>
      <c r="J38" s="17"/>
      <c r="K38" s="17"/>
      <c r="L38" s="17"/>
      <c r="M38" s="17"/>
      <c r="N38" s="17"/>
      <c r="O38" s="17"/>
      <c r="P38" s="17"/>
      <c r="Q38" s="17"/>
      <c r="R38" s="17"/>
      <c r="S38" s="17"/>
      <c r="T38" s="17"/>
      <c r="U38" s="17"/>
    </row>
    <row r="39" spans="1:21" x14ac:dyDescent="0.25">
      <c r="A39" s="17"/>
      <c r="B39" s="17"/>
      <c r="C39" s="17"/>
      <c r="D39" s="17"/>
      <c r="E39" s="17"/>
      <c r="F39" s="17"/>
      <c r="G39" s="17"/>
      <c r="H39" s="17"/>
      <c r="I39" s="17"/>
      <c r="J39" s="17"/>
      <c r="K39" s="17"/>
      <c r="L39" s="17"/>
      <c r="M39" s="17"/>
      <c r="N39" s="17"/>
      <c r="O39" s="17"/>
      <c r="P39" s="17"/>
      <c r="Q39" s="17"/>
      <c r="R39" s="17"/>
      <c r="S39" s="17"/>
      <c r="T39" s="17"/>
      <c r="U39" s="17"/>
    </row>
    <row r="40" spans="1:21" x14ac:dyDescent="0.25">
      <c r="A40" s="17"/>
      <c r="B40" s="17"/>
      <c r="C40" s="17"/>
      <c r="D40" s="17"/>
      <c r="E40" s="17"/>
      <c r="F40" s="17"/>
      <c r="G40" s="17"/>
      <c r="H40" s="17"/>
      <c r="I40" s="17"/>
      <c r="J40" s="17"/>
      <c r="K40" s="17"/>
      <c r="L40" s="17"/>
      <c r="M40" s="17"/>
      <c r="N40" s="17"/>
      <c r="O40" s="17"/>
      <c r="P40" s="17"/>
      <c r="Q40" s="17"/>
      <c r="R40" s="17"/>
      <c r="S40" s="17"/>
      <c r="T40" s="17"/>
      <c r="U40" s="17"/>
    </row>
    <row r="41" spans="1:21" x14ac:dyDescent="0.25">
      <c r="A41" s="17"/>
      <c r="B41" s="17"/>
      <c r="C41" s="17"/>
      <c r="D41" s="17"/>
      <c r="E41" s="17"/>
      <c r="F41" s="17"/>
      <c r="G41" s="17"/>
      <c r="H41" s="17"/>
      <c r="I41" s="17"/>
      <c r="J41" s="17"/>
      <c r="K41" s="17"/>
      <c r="L41" s="17"/>
      <c r="M41" s="17"/>
      <c r="N41" s="17"/>
      <c r="O41" s="17"/>
      <c r="P41" s="17"/>
      <c r="Q41" s="17"/>
      <c r="R41" s="17"/>
      <c r="S41" s="17"/>
      <c r="T41" s="17"/>
      <c r="U41" s="17"/>
    </row>
    <row r="42" spans="1:21" x14ac:dyDescent="0.25">
      <c r="A42" s="17"/>
      <c r="B42" s="17"/>
      <c r="C42" s="17"/>
      <c r="D42" s="17"/>
      <c r="E42" s="17"/>
      <c r="F42" s="17"/>
      <c r="G42" s="17"/>
      <c r="H42" s="17"/>
      <c r="I42" s="17"/>
      <c r="J42" s="17"/>
      <c r="K42" s="17"/>
      <c r="L42" s="17"/>
      <c r="M42" s="17"/>
      <c r="N42" s="17"/>
      <c r="O42" s="17"/>
      <c r="P42" s="17"/>
      <c r="Q42" s="17"/>
      <c r="R42" s="17"/>
      <c r="S42" s="17"/>
      <c r="T42" s="17"/>
      <c r="U42" s="17"/>
    </row>
    <row r="43" spans="1:21" x14ac:dyDescent="0.25">
      <c r="A43" s="17"/>
      <c r="B43" s="17"/>
      <c r="C43" s="17"/>
      <c r="D43" s="17"/>
      <c r="E43" s="17"/>
      <c r="F43" s="17"/>
      <c r="G43" s="17"/>
      <c r="H43" s="17"/>
      <c r="I43" s="17"/>
      <c r="J43" s="17"/>
      <c r="K43" s="17"/>
      <c r="L43" s="17"/>
      <c r="M43" s="17"/>
      <c r="N43" s="17"/>
      <c r="O43" s="17"/>
      <c r="P43" s="17"/>
      <c r="Q43" s="17"/>
      <c r="R43" s="17"/>
      <c r="S43" s="17"/>
      <c r="T43" s="17"/>
      <c r="U43" s="17"/>
    </row>
    <row r="44" spans="1:21" x14ac:dyDescent="0.25">
      <c r="A44" s="17"/>
      <c r="B44" s="17"/>
      <c r="C44" s="17"/>
      <c r="D44" s="17"/>
      <c r="E44" s="17"/>
      <c r="F44" s="17"/>
      <c r="G44" s="17"/>
      <c r="H44" s="17"/>
      <c r="I44" s="17"/>
      <c r="J44" s="17"/>
      <c r="K44" s="17"/>
      <c r="L44" s="17"/>
      <c r="M44" s="17"/>
      <c r="N44" s="17"/>
      <c r="O44" s="17"/>
      <c r="P44" s="17"/>
      <c r="Q44" s="17"/>
      <c r="R44" s="17"/>
      <c r="S44" s="17"/>
      <c r="T44" s="17"/>
      <c r="U44" s="17"/>
    </row>
    <row r="45" spans="1:21" x14ac:dyDescent="0.25">
      <c r="A45" s="17"/>
      <c r="B45" s="17"/>
      <c r="C45" s="17"/>
      <c r="D45" s="17"/>
      <c r="E45" s="17"/>
      <c r="F45" s="17"/>
      <c r="G45" s="17"/>
      <c r="H45" s="17"/>
      <c r="I45" s="17"/>
      <c r="J45" s="17"/>
      <c r="K45" s="17"/>
      <c r="L45" s="17"/>
      <c r="M45" s="17"/>
      <c r="N45" s="17"/>
      <c r="O45" s="17"/>
      <c r="P45" s="17"/>
      <c r="Q45" s="17"/>
      <c r="R45" s="17"/>
      <c r="S45" s="17"/>
      <c r="T45" s="17"/>
      <c r="U45" s="17"/>
    </row>
    <row r="46" spans="1:21" x14ac:dyDescent="0.25">
      <c r="A46" s="17"/>
      <c r="B46" s="17"/>
      <c r="C46" s="17"/>
      <c r="D46" s="17"/>
      <c r="E46" s="17"/>
      <c r="F46" s="17"/>
      <c r="G46" s="17"/>
      <c r="H46" s="17"/>
      <c r="I46" s="17"/>
      <c r="J46" s="17"/>
      <c r="K46" s="17"/>
      <c r="L46" s="17"/>
      <c r="M46" s="17"/>
      <c r="N46" s="17"/>
      <c r="O46" s="17"/>
      <c r="P46" s="17"/>
      <c r="Q46" s="17"/>
      <c r="R46" s="17"/>
      <c r="S46" s="17"/>
      <c r="T46" s="17"/>
      <c r="U46" s="17"/>
    </row>
    <row r="47" spans="1:21" x14ac:dyDescent="0.25">
      <c r="A47" s="17"/>
      <c r="B47" s="17"/>
      <c r="C47" s="17"/>
      <c r="D47" s="17"/>
      <c r="E47" s="17"/>
      <c r="F47" s="17"/>
      <c r="G47" s="17"/>
      <c r="H47" s="17"/>
      <c r="I47" s="17"/>
      <c r="J47" s="17"/>
      <c r="K47" s="17"/>
      <c r="L47" s="17"/>
      <c r="M47" s="17"/>
      <c r="N47" s="17"/>
      <c r="O47" s="17"/>
      <c r="P47" s="17"/>
      <c r="Q47" s="17"/>
      <c r="R47" s="17"/>
      <c r="S47" s="17"/>
      <c r="T47" s="17"/>
      <c r="U47" s="17"/>
    </row>
  </sheetData>
  <sheetProtection algorithmName="SHA-512" hashValue="obOaS/21SJGeQqa2YmtOaR2OqhqO8q3P/C4yZ7I8TuPEs0x0+U86SwJ8/8DNXbxPrsCn0mdWmK3f0VwhdvJZWQ==" saltValue="jug9VILbzKfXXdBlBpIwhg==" spinCount="100000" sheet="1" objects="1" scenarios="1"/>
  <pageMargins left="0.7" right="0.7" top="0.75" bottom="0.75" header="0.3" footer="0.3"/>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A84C2-8EEB-4171-A18A-5F8A2FCE54A4}">
  <dimension ref="B2:M78"/>
  <sheetViews>
    <sheetView showGridLines="0" zoomScaleNormal="100" workbookViewId="0">
      <selection activeCell="D12" sqref="D12"/>
    </sheetView>
  </sheetViews>
  <sheetFormatPr defaultRowHeight="15" x14ac:dyDescent="0.25"/>
  <cols>
    <col min="1" max="1" width="2.85546875" style="17" customWidth="1"/>
    <col min="2" max="2" width="17.28515625" style="17" bestFit="1" customWidth="1"/>
    <col min="3" max="3" width="14.140625" style="17" customWidth="1"/>
    <col min="4" max="4" width="21.28515625" style="17" customWidth="1"/>
    <col min="5" max="5" width="2.85546875" style="17" customWidth="1"/>
    <col min="6" max="6" width="7.7109375" style="17" customWidth="1"/>
    <col min="7" max="7" width="8.140625" style="17" bestFit="1" customWidth="1"/>
    <col min="8" max="8" width="17.42578125" style="17" customWidth="1"/>
    <col min="9" max="9" width="4" style="17" customWidth="1"/>
    <col min="10" max="10" width="18.7109375" style="17" customWidth="1"/>
    <col min="11" max="11" width="5.140625" style="17" customWidth="1"/>
    <col min="12" max="12" width="9.140625" style="17"/>
    <col min="13" max="13" width="3.42578125" style="17" customWidth="1"/>
    <col min="14" max="16384" width="9.140625" style="17"/>
  </cols>
  <sheetData>
    <row r="2" spans="2:12" ht="18" x14ac:dyDescent="0.25">
      <c r="B2" s="106" t="s">
        <v>39</v>
      </c>
      <c r="C2" s="11"/>
      <c r="D2" s="11"/>
      <c r="E2" s="11"/>
      <c r="F2" s="11"/>
      <c r="G2" s="11"/>
      <c r="H2" s="11"/>
      <c r="I2" s="11"/>
      <c r="J2" s="11"/>
      <c r="K2" s="11"/>
      <c r="L2" s="11"/>
    </row>
    <row r="3" spans="2:12" ht="7.5" customHeight="1" x14ac:dyDescent="0.25">
      <c r="B3" s="11"/>
      <c r="C3" s="11"/>
      <c r="D3" s="11"/>
      <c r="E3" s="11"/>
      <c r="F3" s="11"/>
      <c r="G3" s="11"/>
      <c r="H3" s="11"/>
      <c r="I3" s="11"/>
      <c r="J3" s="11"/>
      <c r="K3" s="11"/>
      <c r="L3" s="11"/>
    </row>
    <row r="4" spans="2:12" x14ac:dyDescent="0.25">
      <c r="B4" s="11" t="s">
        <v>173</v>
      </c>
      <c r="C4" s="11"/>
      <c r="D4" s="11"/>
      <c r="E4" s="11"/>
      <c r="F4" s="11"/>
      <c r="G4" s="11"/>
      <c r="H4" s="11"/>
      <c r="I4" s="11"/>
      <c r="J4" s="11"/>
      <c r="K4" s="11"/>
      <c r="L4" s="11"/>
    </row>
    <row r="5" spans="2:12" x14ac:dyDescent="0.25">
      <c r="B5" s="11" t="s">
        <v>174</v>
      </c>
      <c r="C5" s="11"/>
      <c r="D5" s="11"/>
      <c r="E5" s="11"/>
      <c r="F5" s="11"/>
      <c r="G5" s="11"/>
      <c r="H5" s="11"/>
      <c r="I5" s="11"/>
      <c r="J5" s="11"/>
      <c r="K5" s="11"/>
      <c r="L5" s="11"/>
    </row>
    <row r="6" spans="2:12" x14ac:dyDescent="0.25">
      <c r="B6" s="11" t="s">
        <v>175</v>
      </c>
      <c r="C6" s="11"/>
      <c r="D6" s="11"/>
      <c r="E6" s="11"/>
      <c r="F6" s="11"/>
      <c r="G6" s="11"/>
      <c r="H6" s="11"/>
      <c r="I6" s="11"/>
      <c r="J6" s="11"/>
      <c r="K6" s="11"/>
      <c r="L6" s="11"/>
    </row>
    <row r="7" spans="2:12" x14ac:dyDescent="0.25">
      <c r="B7" s="11" t="s">
        <v>176</v>
      </c>
      <c r="C7" s="11"/>
      <c r="D7" s="11"/>
      <c r="E7" s="11"/>
      <c r="F7" s="11"/>
      <c r="G7" s="11"/>
      <c r="H7" s="176"/>
      <c r="I7" s="11"/>
      <c r="J7" s="11"/>
      <c r="K7" s="11"/>
      <c r="L7" s="11"/>
    </row>
    <row r="8" spans="2:12" x14ac:dyDescent="0.25">
      <c r="B8" s="11"/>
      <c r="C8" s="11"/>
      <c r="D8" s="11"/>
      <c r="E8" s="11"/>
      <c r="F8" s="11"/>
      <c r="G8" s="11"/>
      <c r="H8" s="11"/>
      <c r="I8" s="11"/>
      <c r="J8" s="11"/>
      <c r="K8" s="11"/>
      <c r="L8" s="11"/>
    </row>
    <row r="9" spans="2:12" x14ac:dyDescent="0.25">
      <c r="B9" s="18" t="s">
        <v>1</v>
      </c>
      <c r="C9" s="18"/>
      <c r="D9" s="18"/>
      <c r="E9" s="18"/>
      <c r="F9" s="18"/>
      <c r="G9" s="18"/>
      <c r="H9" s="18"/>
      <c r="I9" s="18"/>
      <c r="J9" s="18"/>
      <c r="K9" s="18"/>
      <c r="L9" s="18"/>
    </row>
    <row r="10" spans="2:12" x14ac:dyDescent="0.25">
      <c r="B10" s="20"/>
      <c r="C10" s="20"/>
      <c r="D10" s="20"/>
      <c r="E10" s="20"/>
      <c r="F10" s="20"/>
      <c r="G10" s="20"/>
      <c r="H10" s="20"/>
      <c r="I10" s="20"/>
      <c r="J10" s="130" t="s">
        <v>185</v>
      </c>
      <c r="K10" s="20"/>
      <c r="L10" s="20"/>
    </row>
    <row r="11" spans="2:12" ht="18.75" x14ac:dyDescent="0.35">
      <c r="B11" s="21" t="s">
        <v>41</v>
      </c>
      <c r="C11" s="20"/>
      <c r="D11" s="125" t="s">
        <v>119</v>
      </c>
      <c r="E11" s="20"/>
      <c r="F11" s="20"/>
      <c r="G11" s="20"/>
      <c r="H11" s="98" t="s">
        <v>42</v>
      </c>
      <c r="I11" s="20"/>
      <c r="J11" s="126"/>
      <c r="K11" s="20"/>
      <c r="L11" s="20"/>
    </row>
    <row r="12" spans="2:12" x14ac:dyDescent="0.25">
      <c r="B12" s="20"/>
      <c r="C12" s="20"/>
      <c r="D12" s="188" t="s">
        <v>308</v>
      </c>
      <c r="E12" s="20"/>
      <c r="F12" s="20"/>
      <c r="G12" s="20"/>
      <c r="H12" s="20"/>
      <c r="I12" s="20"/>
      <c r="J12" s="20"/>
      <c r="K12" s="20"/>
      <c r="L12" s="20"/>
    </row>
    <row r="13" spans="2:12" ht="7.5" customHeight="1" x14ac:dyDescent="0.25">
      <c r="B13" s="20"/>
      <c r="C13" s="20"/>
      <c r="D13" s="20"/>
      <c r="E13" s="20"/>
      <c r="F13" s="20"/>
      <c r="G13" s="20"/>
      <c r="H13" s="20"/>
      <c r="I13" s="20"/>
      <c r="J13" s="20"/>
      <c r="K13" s="20"/>
      <c r="L13" s="20"/>
    </row>
    <row r="14" spans="2:12" ht="18" customHeight="1" x14ac:dyDescent="0.25">
      <c r="B14" s="21" t="s">
        <v>200</v>
      </c>
      <c r="C14" s="20"/>
      <c r="D14" s="192"/>
      <c r="E14" s="193"/>
      <c r="F14" s="193"/>
      <c r="G14" s="193"/>
      <c r="H14" s="193"/>
      <c r="I14" s="193"/>
      <c r="J14" s="194"/>
      <c r="K14" s="20"/>
      <c r="L14" s="20"/>
    </row>
    <row r="15" spans="2:12" x14ac:dyDescent="0.25">
      <c r="B15" s="22"/>
      <c r="C15" s="20"/>
      <c r="D15" s="20"/>
      <c r="E15" s="20"/>
      <c r="F15" s="20"/>
      <c r="G15" s="20"/>
      <c r="H15" s="20"/>
      <c r="I15" s="20"/>
      <c r="J15" s="20"/>
      <c r="K15" s="20"/>
      <c r="L15" s="20"/>
    </row>
    <row r="16" spans="2:12" x14ac:dyDescent="0.25">
      <c r="B16" s="190" t="s">
        <v>44</v>
      </c>
      <c r="C16" s="190"/>
      <c r="D16" s="190"/>
      <c r="E16" s="190"/>
      <c r="F16" s="190"/>
      <c r="G16" s="190"/>
      <c r="H16" s="190"/>
      <c r="I16" s="190"/>
      <c r="J16" s="190"/>
      <c r="K16" s="190"/>
      <c r="L16" s="190"/>
    </row>
    <row r="17" spans="2:12" x14ac:dyDescent="0.25">
      <c r="B17" s="19"/>
      <c r="C17" s="19"/>
      <c r="D17" s="19"/>
      <c r="E17" s="19"/>
      <c r="F17" s="19"/>
      <c r="G17" s="19"/>
      <c r="H17" s="19"/>
      <c r="I17" s="19"/>
      <c r="J17" s="19"/>
      <c r="K17" s="19"/>
      <c r="L17" s="19"/>
    </row>
    <row r="18" spans="2:12" x14ac:dyDescent="0.25">
      <c r="B18" s="19"/>
      <c r="C18" s="19"/>
      <c r="D18" s="19"/>
      <c r="E18" s="19"/>
      <c r="F18" s="19"/>
      <c r="G18" s="19"/>
      <c r="H18" s="19"/>
      <c r="I18" s="19"/>
      <c r="J18" s="19"/>
      <c r="K18" s="19"/>
      <c r="L18" s="19"/>
    </row>
    <row r="19" spans="2:12" x14ac:dyDescent="0.25">
      <c r="B19" s="19"/>
      <c r="C19" s="19"/>
      <c r="D19" s="19"/>
      <c r="E19" s="19"/>
      <c r="F19" s="19"/>
      <c r="G19" s="19"/>
      <c r="H19" s="19"/>
      <c r="I19" s="19"/>
      <c r="J19" s="19"/>
      <c r="K19" s="19"/>
      <c r="L19" s="19"/>
    </row>
    <row r="20" spans="2:12" x14ac:dyDescent="0.25">
      <c r="B20" s="19"/>
      <c r="C20" s="19"/>
      <c r="D20" s="19"/>
      <c r="E20" s="19"/>
      <c r="F20" s="19"/>
      <c r="G20" s="19"/>
      <c r="H20" s="19"/>
      <c r="I20" s="19"/>
      <c r="J20" s="19" t="s">
        <v>188</v>
      </c>
      <c r="K20" s="19" t="s">
        <v>187</v>
      </c>
      <c r="L20" s="19"/>
    </row>
    <row r="21" spans="2:12" x14ac:dyDescent="0.25">
      <c r="B21" s="19"/>
      <c r="C21" s="19"/>
      <c r="D21" s="19"/>
      <c r="E21" s="19"/>
      <c r="F21" s="19"/>
      <c r="G21" s="19"/>
      <c r="H21" s="19"/>
      <c r="I21" s="19"/>
      <c r="J21" s="19"/>
      <c r="K21" s="19"/>
      <c r="L21" s="19"/>
    </row>
    <row r="22" spans="2:12" x14ac:dyDescent="0.25">
      <c r="B22" s="19"/>
      <c r="C22" s="19"/>
      <c r="D22" s="19"/>
      <c r="E22" s="19"/>
      <c r="F22" s="19"/>
      <c r="G22" s="19"/>
      <c r="H22" s="19"/>
      <c r="I22" s="19"/>
      <c r="J22" s="19"/>
      <c r="K22" s="19"/>
      <c r="L22" s="19"/>
    </row>
    <row r="23" spans="2:12" x14ac:dyDescent="0.25">
      <c r="B23" s="19"/>
      <c r="C23" s="19"/>
      <c r="D23" s="19"/>
      <c r="E23" s="19"/>
      <c r="F23" s="19"/>
      <c r="G23" s="19"/>
      <c r="H23" s="19"/>
      <c r="I23" s="19"/>
      <c r="J23" s="19"/>
      <c r="K23" s="19"/>
      <c r="L23" s="19"/>
    </row>
    <row r="24" spans="2:12" x14ac:dyDescent="0.25">
      <c r="B24" s="19"/>
      <c r="C24" s="19"/>
      <c r="D24" s="19"/>
      <c r="E24" s="19"/>
      <c r="F24" s="19"/>
      <c r="G24" s="19"/>
      <c r="H24" s="19"/>
      <c r="I24" s="19"/>
      <c r="J24" s="19"/>
      <c r="K24" s="19"/>
      <c r="L24" s="19"/>
    </row>
    <row r="25" spans="2:12" x14ac:dyDescent="0.25">
      <c r="B25" s="19"/>
      <c r="C25" s="19"/>
      <c r="D25" s="19"/>
      <c r="E25" s="19"/>
      <c r="F25" s="19"/>
      <c r="G25" s="19"/>
      <c r="H25" s="19"/>
      <c r="I25" s="19"/>
      <c r="J25" s="19"/>
      <c r="K25" s="19"/>
      <c r="L25" s="19"/>
    </row>
    <row r="26" spans="2:12" x14ac:dyDescent="0.25">
      <c r="B26" s="19"/>
      <c r="C26" s="19"/>
      <c r="D26" s="19"/>
      <c r="E26" s="19"/>
      <c r="F26" s="19"/>
      <c r="G26" s="19"/>
      <c r="H26" s="19"/>
      <c r="I26" s="19"/>
      <c r="J26" s="19"/>
      <c r="K26" s="19"/>
      <c r="L26" s="19"/>
    </row>
    <row r="27" spans="2:12" ht="12" customHeight="1" x14ac:dyDescent="0.25">
      <c r="B27" s="19"/>
      <c r="C27" s="19"/>
      <c r="D27" s="19"/>
      <c r="E27" s="19"/>
      <c r="F27" s="19"/>
      <c r="G27" s="19"/>
      <c r="H27" s="19"/>
      <c r="I27" s="19"/>
      <c r="J27" s="19"/>
      <c r="K27" s="19"/>
      <c r="L27" s="19"/>
    </row>
    <row r="28" spans="2:12" x14ac:dyDescent="0.25">
      <c r="B28" s="131" t="s">
        <v>201</v>
      </c>
      <c r="C28" s="132"/>
      <c r="D28" s="132"/>
      <c r="E28" s="132"/>
      <c r="F28" s="132"/>
      <c r="G28" s="132"/>
      <c r="H28" s="132"/>
      <c r="I28" s="132"/>
      <c r="J28" s="132"/>
      <c r="K28" s="132"/>
      <c r="L28" s="132"/>
    </row>
    <row r="29" spans="2:12" x14ac:dyDescent="0.25">
      <c r="B29" s="20"/>
      <c r="C29" s="19"/>
      <c r="D29" s="19"/>
      <c r="E29" s="19"/>
      <c r="F29" s="19"/>
      <c r="G29" s="19"/>
      <c r="H29" s="19"/>
      <c r="I29" s="19"/>
      <c r="J29" s="19"/>
      <c r="K29" s="19"/>
      <c r="L29" s="19"/>
    </row>
    <row r="30" spans="2:12" x14ac:dyDescent="0.25">
      <c r="B30" s="21" t="s">
        <v>305</v>
      </c>
      <c r="C30" s="19"/>
      <c r="D30" s="192" t="s">
        <v>306</v>
      </c>
      <c r="E30" s="193"/>
      <c r="F30" s="193"/>
      <c r="G30" s="193"/>
      <c r="H30" s="194"/>
      <c r="I30" s="19"/>
      <c r="J30" s="19"/>
      <c r="K30" s="19"/>
      <c r="L30" s="19"/>
    </row>
    <row r="31" spans="2:12" x14ac:dyDescent="0.25">
      <c r="B31" s="20"/>
      <c r="C31" s="19"/>
      <c r="D31" s="19"/>
      <c r="E31" s="19"/>
      <c r="F31" s="19"/>
      <c r="G31" s="19"/>
      <c r="H31" s="19"/>
      <c r="I31" s="19"/>
      <c r="J31" s="130"/>
      <c r="K31" s="19"/>
      <c r="L31" s="19"/>
    </row>
    <row r="32" spans="2:12" x14ac:dyDescent="0.25">
      <c r="B32" s="21" t="s">
        <v>196</v>
      </c>
      <c r="C32" s="19"/>
      <c r="D32" s="144"/>
      <c r="E32" s="19"/>
      <c r="F32" s="19"/>
      <c r="G32" s="21" t="s">
        <v>197</v>
      </c>
      <c r="H32" s="19"/>
      <c r="I32" s="19"/>
      <c r="J32" s="144"/>
      <c r="K32" s="19"/>
      <c r="L32" s="19"/>
    </row>
    <row r="33" spans="2:12" x14ac:dyDescent="0.25">
      <c r="B33" s="21"/>
      <c r="C33" s="20"/>
      <c r="D33" s="20"/>
      <c r="E33" s="20"/>
      <c r="F33" s="20"/>
      <c r="G33" s="20"/>
      <c r="H33" s="20"/>
      <c r="I33" s="20"/>
      <c r="J33" s="20"/>
      <c r="K33" s="20"/>
      <c r="L33" s="20"/>
    </row>
    <row r="34" spans="2:12" x14ac:dyDescent="0.25">
      <c r="B34" s="21"/>
      <c r="C34" s="20"/>
      <c r="D34" s="20"/>
      <c r="E34" s="20"/>
      <c r="F34" s="20"/>
      <c r="G34" s="20"/>
      <c r="H34" s="20"/>
      <c r="I34" s="20"/>
      <c r="J34" s="20"/>
      <c r="K34" s="20"/>
      <c r="L34" s="20"/>
    </row>
    <row r="35" spans="2:12" x14ac:dyDescent="0.25">
      <c r="B35" s="21" t="s">
        <v>43</v>
      </c>
      <c r="C35" s="20"/>
      <c r="D35" s="127"/>
      <c r="E35" s="20"/>
      <c r="F35" s="20"/>
      <c r="G35" s="20"/>
      <c r="H35" s="20"/>
      <c r="I35" s="20"/>
      <c r="J35" s="20"/>
      <c r="K35" s="20"/>
      <c r="L35" s="20"/>
    </row>
    <row r="36" spans="2:12" x14ac:dyDescent="0.25">
      <c r="B36" s="22"/>
      <c r="C36" s="20"/>
      <c r="D36" s="20"/>
      <c r="E36" s="20"/>
      <c r="F36" s="20"/>
      <c r="G36" s="20"/>
      <c r="H36" s="20"/>
      <c r="I36" s="20"/>
      <c r="J36" s="20"/>
      <c r="K36" s="20"/>
      <c r="L36" s="20"/>
    </row>
    <row r="37" spans="2:12" x14ac:dyDescent="0.25">
      <c r="B37" s="22"/>
      <c r="C37" s="20"/>
      <c r="D37" s="20"/>
      <c r="E37" s="20"/>
      <c r="F37" s="20"/>
      <c r="G37" s="20"/>
      <c r="H37" s="20"/>
      <c r="I37" s="20"/>
      <c r="J37" s="20"/>
      <c r="K37" s="20"/>
      <c r="L37" s="20"/>
    </row>
    <row r="38" spans="2:12" x14ac:dyDescent="0.25">
      <c r="B38" s="22"/>
      <c r="C38" s="20"/>
      <c r="D38" s="20"/>
      <c r="E38" s="20"/>
      <c r="F38" s="20"/>
      <c r="G38" s="20"/>
      <c r="H38" s="20"/>
      <c r="I38" s="20"/>
      <c r="J38" s="20"/>
      <c r="K38" s="20"/>
      <c r="L38" s="20"/>
    </row>
    <row r="39" spans="2:12" x14ac:dyDescent="0.25">
      <c r="B39" s="22"/>
      <c r="C39" s="20"/>
      <c r="D39" s="20"/>
      <c r="E39" s="20"/>
      <c r="F39" s="20"/>
      <c r="G39" s="20"/>
      <c r="H39" s="20"/>
      <c r="I39" s="20"/>
      <c r="J39" s="20"/>
      <c r="K39" s="20"/>
      <c r="L39" s="20"/>
    </row>
    <row r="40" spans="2:12" x14ac:dyDescent="0.25">
      <c r="B40" s="22"/>
      <c r="C40" s="20"/>
      <c r="D40" s="20"/>
      <c r="E40" s="20"/>
      <c r="F40" s="20"/>
      <c r="G40" s="20"/>
      <c r="H40" s="20"/>
      <c r="I40" s="20"/>
      <c r="J40" s="20"/>
      <c r="K40" s="20"/>
      <c r="L40" s="20"/>
    </row>
    <row r="41" spans="2:12" ht="17.25" x14ac:dyDescent="0.25">
      <c r="B41" s="21" t="s">
        <v>170</v>
      </c>
      <c r="C41" s="19"/>
      <c r="D41" s="127"/>
      <c r="E41" s="19"/>
      <c r="F41" s="19"/>
      <c r="G41" s="21" t="s">
        <v>171</v>
      </c>
      <c r="H41" s="19"/>
      <c r="I41" s="19"/>
      <c r="J41" s="127"/>
      <c r="K41" s="21" t="s">
        <v>199</v>
      </c>
      <c r="L41" s="20"/>
    </row>
    <row r="42" spans="2:12" x14ac:dyDescent="0.25">
      <c r="B42" s="20"/>
      <c r="C42" s="20"/>
      <c r="D42" s="20"/>
      <c r="E42" s="20"/>
      <c r="F42" s="20"/>
      <c r="G42" s="20"/>
      <c r="H42" s="20"/>
      <c r="I42" s="20"/>
      <c r="J42" s="20"/>
      <c r="K42" s="20"/>
      <c r="L42" s="20"/>
    </row>
    <row r="43" spans="2:12" x14ac:dyDescent="0.25">
      <c r="B43" s="20"/>
      <c r="C43" s="20"/>
      <c r="D43" s="20"/>
      <c r="E43" s="20"/>
      <c r="F43" s="20"/>
      <c r="G43" s="21" t="s">
        <v>172</v>
      </c>
      <c r="H43" s="20"/>
      <c r="I43" s="20"/>
      <c r="J43" s="130" t="s">
        <v>186</v>
      </c>
      <c r="K43" s="20"/>
      <c r="L43" s="20"/>
    </row>
    <row r="44" spans="2:12" x14ac:dyDescent="0.25">
      <c r="B44" s="21" t="s">
        <v>120</v>
      </c>
      <c r="C44" s="20"/>
      <c r="D44" s="128"/>
      <c r="E44" s="20"/>
      <c r="F44" s="20"/>
      <c r="G44" s="21" t="s">
        <v>118</v>
      </c>
      <c r="H44" s="20"/>
      <c r="I44" s="20"/>
      <c r="J44" s="127">
        <v>1</v>
      </c>
      <c r="K44" s="20"/>
      <c r="L44" s="20"/>
    </row>
    <row r="45" spans="2:12" x14ac:dyDescent="0.25">
      <c r="B45" s="22"/>
      <c r="C45" s="20"/>
      <c r="D45" s="20"/>
      <c r="E45" s="20"/>
      <c r="F45" s="20"/>
      <c r="G45" s="20"/>
      <c r="H45" s="20"/>
      <c r="I45" s="20"/>
      <c r="J45" s="20"/>
      <c r="K45" s="20"/>
      <c r="L45" s="20"/>
    </row>
    <row r="46" spans="2:12" x14ac:dyDescent="0.25">
      <c r="B46" s="131" t="s">
        <v>202</v>
      </c>
      <c r="C46" s="132"/>
      <c r="D46" s="132"/>
      <c r="E46" s="132"/>
      <c r="F46" s="132"/>
      <c r="G46" s="132"/>
      <c r="H46" s="132"/>
      <c r="I46" s="132"/>
      <c r="J46" s="132"/>
      <c r="K46" s="132"/>
      <c r="L46" s="132"/>
    </row>
    <row r="47" spans="2:12" x14ac:dyDescent="0.25">
      <c r="B47" s="20"/>
      <c r="C47" s="19"/>
      <c r="D47" s="19"/>
      <c r="E47" s="19"/>
      <c r="F47" s="19"/>
      <c r="G47" s="19"/>
      <c r="H47" s="19"/>
      <c r="I47" s="19"/>
      <c r="J47" s="19"/>
      <c r="K47" s="19"/>
      <c r="L47" s="19"/>
    </row>
    <row r="48" spans="2:12" x14ac:dyDescent="0.25">
      <c r="B48" s="21" t="s">
        <v>305</v>
      </c>
      <c r="C48" s="19"/>
      <c r="D48" s="192" t="s">
        <v>306</v>
      </c>
      <c r="E48" s="193"/>
      <c r="F48" s="193"/>
      <c r="G48" s="193"/>
      <c r="H48" s="194"/>
      <c r="I48" s="19"/>
      <c r="J48" s="19"/>
      <c r="K48" s="19"/>
      <c r="L48" s="19"/>
    </row>
    <row r="49" spans="2:12" x14ac:dyDescent="0.25">
      <c r="B49" s="20"/>
      <c r="C49" s="19"/>
      <c r="D49" s="19"/>
      <c r="E49" s="19"/>
      <c r="F49" s="19"/>
      <c r="G49" s="19"/>
      <c r="H49" s="19"/>
      <c r="I49" s="19"/>
      <c r="J49" s="130"/>
      <c r="K49" s="19"/>
      <c r="L49" s="19"/>
    </row>
    <row r="50" spans="2:12" x14ac:dyDescent="0.25">
      <c r="B50" s="21" t="s">
        <v>196</v>
      </c>
      <c r="C50" s="19"/>
      <c r="D50" s="144"/>
      <c r="E50" s="19"/>
      <c r="F50" s="19"/>
      <c r="G50" s="21" t="s">
        <v>197</v>
      </c>
      <c r="H50" s="19"/>
      <c r="I50" s="19"/>
      <c r="J50" s="144"/>
      <c r="K50" s="19"/>
      <c r="L50" s="19"/>
    </row>
    <row r="51" spans="2:12" x14ac:dyDescent="0.25">
      <c r="B51" s="21"/>
      <c r="C51" s="20"/>
      <c r="D51" s="20"/>
      <c r="E51" s="20"/>
      <c r="F51" s="20"/>
      <c r="G51" s="20"/>
      <c r="H51" s="20"/>
      <c r="I51" s="20"/>
      <c r="J51" s="20"/>
      <c r="K51" s="20"/>
      <c r="L51" s="20"/>
    </row>
    <row r="52" spans="2:12" x14ac:dyDescent="0.25">
      <c r="B52" s="21" t="s">
        <v>43</v>
      </c>
      <c r="C52" s="20"/>
      <c r="D52" s="127"/>
      <c r="E52" s="20"/>
      <c r="F52" s="20"/>
      <c r="G52" s="20"/>
      <c r="H52" s="20"/>
      <c r="I52" s="20"/>
      <c r="J52" s="20"/>
      <c r="K52" s="20"/>
      <c r="L52" s="20"/>
    </row>
    <row r="53" spans="2:12" x14ac:dyDescent="0.25">
      <c r="B53" s="21"/>
      <c r="C53" s="20"/>
      <c r="D53" s="20"/>
      <c r="E53" s="20"/>
      <c r="F53" s="20"/>
      <c r="G53" s="20"/>
      <c r="H53" s="20"/>
      <c r="I53" s="20"/>
      <c r="J53" s="20"/>
      <c r="K53" s="20"/>
      <c r="L53" s="20"/>
    </row>
    <row r="54" spans="2:12" ht="17.25" x14ac:dyDescent="0.25">
      <c r="B54" s="21" t="s">
        <v>170</v>
      </c>
      <c r="C54" s="19"/>
      <c r="D54" s="127"/>
      <c r="E54" s="19"/>
      <c r="F54" s="19"/>
      <c r="G54" s="21" t="s">
        <v>171</v>
      </c>
      <c r="H54" s="19"/>
      <c r="I54" s="19"/>
      <c r="J54" s="127"/>
      <c r="K54" s="21" t="s">
        <v>199</v>
      </c>
      <c r="L54" s="20"/>
    </row>
    <row r="55" spans="2:12" x14ac:dyDescent="0.25">
      <c r="B55" s="20"/>
      <c r="C55" s="20"/>
      <c r="D55" s="20"/>
      <c r="E55" s="20"/>
      <c r="F55" s="20"/>
      <c r="G55" s="21"/>
      <c r="H55" s="20"/>
      <c r="I55" s="20"/>
      <c r="J55" s="20"/>
      <c r="K55" s="20"/>
      <c r="L55" s="20"/>
    </row>
    <row r="56" spans="2:12" x14ac:dyDescent="0.25">
      <c r="B56" s="20"/>
      <c r="C56" s="20"/>
      <c r="D56" s="20"/>
      <c r="E56" s="20"/>
      <c r="F56" s="20"/>
      <c r="G56" s="21" t="s">
        <v>172</v>
      </c>
      <c r="H56" s="20"/>
      <c r="I56" s="20"/>
      <c r="J56" s="130" t="s">
        <v>198</v>
      </c>
      <c r="K56" s="20"/>
      <c r="L56" s="20"/>
    </row>
    <row r="57" spans="2:12" x14ac:dyDescent="0.25">
      <c r="B57" s="21" t="s">
        <v>120</v>
      </c>
      <c r="C57" s="20"/>
      <c r="D57" s="128"/>
      <c r="E57" s="20"/>
      <c r="F57" s="20"/>
      <c r="G57" s="21" t="s">
        <v>118</v>
      </c>
      <c r="H57" s="20"/>
      <c r="I57" s="20"/>
      <c r="J57" s="127">
        <v>1</v>
      </c>
      <c r="K57" s="20"/>
      <c r="L57" s="20"/>
    </row>
    <row r="58" spans="2:12" x14ac:dyDescent="0.25">
      <c r="B58" s="11"/>
      <c r="C58" s="11"/>
      <c r="D58" s="23"/>
      <c r="E58" s="11"/>
      <c r="F58" s="11"/>
      <c r="G58" s="11"/>
      <c r="H58" s="11"/>
      <c r="I58" s="11"/>
      <c r="J58" s="11"/>
      <c r="K58" s="11"/>
      <c r="L58" s="11"/>
    </row>
    <row r="59" spans="2:12" x14ac:dyDescent="0.25">
      <c r="B59" s="191" t="s">
        <v>179</v>
      </c>
      <c r="C59" s="191"/>
      <c r="D59" s="191"/>
      <c r="E59" s="191"/>
      <c r="F59" s="191"/>
      <c r="G59" s="191"/>
      <c r="H59" s="191"/>
      <c r="I59" s="191"/>
      <c r="J59" s="191"/>
      <c r="K59" s="191"/>
      <c r="L59" s="191"/>
    </row>
    <row r="60" spans="2:12" ht="10.5" customHeight="1" x14ac:dyDescent="0.25">
      <c r="B60" s="111"/>
      <c r="C60" s="111"/>
      <c r="D60" s="111"/>
      <c r="E60" s="111"/>
      <c r="F60" s="111"/>
      <c r="G60" s="111"/>
      <c r="H60" s="111"/>
      <c r="I60" s="111"/>
      <c r="J60" s="111"/>
      <c r="K60" s="111"/>
      <c r="L60" s="111"/>
    </row>
    <row r="61" spans="2:12" x14ac:dyDescent="0.25">
      <c r="B61" s="112" t="s">
        <v>40</v>
      </c>
      <c r="C61" s="112"/>
      <c r="D61" s="117"/>
      <c r="E61" s="117"/>
      <c r="F61" s="195" t="s">
        <v>180</v>
      </c>
      <c r="G61" s="196"/>
      <c r="H61" s="112"/>
      <c r="I61" s="116" t="s">
        <v>177</v>
      </c>
      <c r="J61" s="111"/>
      <c r="K61" s="117"/>
      <c r="L61" s="117"/>
    </row>
    <row r="62" spans="2:12" x14ac:dyDescent="0.25">
      <c r="B62" s="145" t="e">
        <f>VLOOKUP(calcu!$C$10,' lijst slimfix'!C5:Z106,22)</f>
        <v>#N/A</v>
      </c>
      <c r="C62" s="112"/>
      <c r="D62" s="117"/>
      <c r="E62" s="117"/>
      <c r="F62" s="118" t="e">
        <f>VLOOKUP(calcu!$C$10,' lijst slimfix'!C5:W106,4)</f>
        <v>#N/A</v>
      </c>
      <c r="G62" s="117"/>
      <c r="H62" s="115" t="e">
        <f>IF($B$62="Door de tengel t.p.v. elke onderliggende gording/muurplaat:"," ","incl. volgplaatjes")</f>
        <v>#N/A</v>
      </c>
      <c r="I62" s="113">
        <f>IF($D$32=0,0,VLOOKUP(calcu!$C$10,' lijst slimfix'!C5:Z106,23))</f>
        <v>0</v>
      </c>
      <c r="J62" s="115" t="s">
        <v>189</v>
      </c>
      <c r="K62" s="117"/>
      <c r="L62" s="117"/>
    </row>
    <row r="63" spans="2:12" x14ac:dyDescent="0.25">
      <c r="B63" s="145" t="e">
        <f>VLOOKUP(calcu!$C$10,' lijst slimfix'!C5:Z106,24)</f>
        <v>#N/A</v>
      </c>
      <c r="C63" s="111"/>
      <c r="D63" s="117"/>
      <c r="E63" s="117"/>
      <c r="F63" s="118" t="e">
        <f>IF($B$63=" ","",VLOOKUP(calcu!$C$10,' lijst slimfix'!C5:W106,9))</f>
        <v>#N/A</v>
      </c>
      <c r="G63" s="117"/>
      <c r="H63" s="115" t="e">
        <f>IF($B$63=" "," ","incl. volgplaatjes")</f>
        <v>#N/A</v>
      </c>
      <c r="I63" s="113" t="e">
        <f>IF($B$63=" "," ",VLOOKUP(calcu!$C$10,' lijst slimfix'!C5:W106,12))</f>
        <v>#N/A</v>
      </c>
      <c r="J63" s="115" t="e">
        <f>IF($B$63=" "," ","per element")</f>
        <v>#N/A</v>
      </c>
      <c r="K63" s="117"/>
      <c r="L63" s="117"/>
    </row>
    <row r="64" spans="2:12" x14ac:dyDescent="0.25">
      <c r="B64" s="115"/>
      <c r="C64" s="111"/>
      <c r="D64" s="114"/>
      <c r="E64" s="115"/>
      <c r="F64" s="111"/>
      <c r="G64" s="111"/>
      <c r="H64" s="113"/>
      <c r="I64" s="115"/>
      <c r="J64" s="111"/>
      <c r="K64" s="111"/>
      <c r="L64" s="111"/>
    </row>
    <row r="65" spans="2:13" x14ac:dyDescent="0.25">
      <c r="B65" s="112" t="str">
        <f>IF($D$50=0," ","Dakvlak 2")</f>
        <v xml:space="preserve"> </v>
      </c>
      <c r="C65" s="111"/>
      <c r="D65" s="114"/>
      <c r="E65" s="115"/>
      <c r="F65" s="111"/>
      <c r="G65" s="111"/>
      <c r="H65" s="113"/>
      <c r="I65" s="115"/>
      <c r="J65" s="111"/>
      <c r="K65" s="111"/>
      <c r="L65" s="111"/>
    </row>
    <row r="66" spans="2:13" x14ac:dyDescent="0.25">
      <c r="B66" s="145" t="str">
        <f>IF($D$50=0," ",VLOOKUP(calcu!$C$10,' lijst slimfix'!C5:Z106,22))</f>
        <v xml:space="preserve"> </v>
      </c>
      <c r="C66" s="111"/>
      <c r="D66" s="117"/>
      <c r="E66" s="117"/>
      <c r="F66" s="118" t="str">
        <f>IF($D$50=0," ",VLOOKUP(calcu!$C$10,' lijst slimfix'!C5:W106,4))</f>
        <v xml:space="preserve"> </v>
      </c>
      <c r="G66" s="111"/>
      <c r="H66" s="115" t="str">
        <f>IF(OR($B$66="Door de tengel t.p.v. elke onderliggende gording/muurplaat:",$B$66=" ")," ","incl. volgplaatjes")</f>
        <v xml:space="preserve"> </v>
      </c>
      <c r="I66" s="113" t="str">
        <f>IF($D$50=0," ",VLOOKUP(calcu!$C$10,' lijst slimfix'!C5:Z106,23))</f>
        <v xml:space="preserve"> </v>
      </c>
      <c r="J66" s="115" t="str">
        <f>IF($D$50=0," ","per oplegging")</f>
        <v xml:space="preserve"> </v>
      </c>
      <c r="K66" s="111"/>
      <c r="L66" s="117"/>
    </row>
    <row r="67" spans="2:13" x14ac:dyDescent="0.25">
      <c r="B67" s="145" t="str">
        <f>IF($D$50=0," ",VLOOKUP(calcu!$C$10,' lijst slimfix'!C5:Z106,24))</f>
        <v xml:space="preserve"> </v>
      </c>
      <c r="C67" s="111"/>
      <c r="D67" s="117"/>
      <c r="E67" s="117"/>
      <c r="F67" s="118" t="str">
        <f>IF($B$67=" "," ",VLOOKUP(calcu!$C$10,' lijst slimfix'!C5:W106,9))</f>
        <v xml:space="preserve"> </v>
      </c>
      <c r="G67" s="117"/>
      <c r="H67" s="115" t="str">
        <f>IF($B$67=" "," ","incl. volgplaatjes")</f>
        <v xml:space="preserve"> </v>
      </c>
      <c r="I67" s="113" t="str">
        <f>IF($B$67=" "," ",VLOOKUP(calcu!$C$10,' lijst slimfix'!C5:W106,13))</f>
        <v xml:space="preserve"> </v>
      </c>
      <c r="J67" s="115" t="str">
        <f>IF($B$67=" "," ","per element")</f>
        <v xml:space="preserve"> </v>
      </c>
      <c r="K67" s="111"/>
      <c r="L67" s="117"/>
    </row>
    <row r="68" spans="2:13" x14ac:dyDescent="0.25">
      <c r="B68" s="111"/>
      <c r="C68" s="111"/>
      <c r="D68" s="111"/>
      <c r="E68" s="111"/>
      <c r="F68" s="111"/>
      <c r="G68" s="111"/>
      <c r="H68" s="111"/>
      <c r="I68" s="111"/>
      <c r="J68" s="111"/>
      <c r="K68" s="111"/>
      <c r="L68" s="111"/>
    </row>
    <row r="69" spans="2:13" x14ac:dyDescent="0.25">
      <c r="B69" s="108" t="s">
        <v>178</v>
      </c>
      <c r="C69" s="108"/>
      <c r="D69" s="108"/>
      <c r="E69" s="108"/>
      <c r="F69" s="108"/>
      <c r="G69" s="108"/>
      <c r="H69" s="108"/>
      <c r="I69" s="108"/>
      <c r="J69" s="108"/>
      <c r="K69" s="108"/>
      <c r="L69" s="108"/>
    </row>
    <row r="70" spans="2:13" ht="9" customHeight="1" x14ac:dyDescent="0.25">
      <c r="B70" s="100"/>
      <c r="C70" s="100"/>
      <c r="D70" s="100"/>
      <c r="E70" s="100"/>
      <c r="F70" s="100"/>
      <c r="G70" s="100"/>
      <c r="H70" s="100"/>
      <c r="I70" s="100"/>
      <c r="J70" s="100"/>
      <c r="K70" s="100"/>
      <c r="L70" s="100"/>
    </row>
    <row r="71" spans="2:13" x14ac:dyDescent="0.25">
      <c r="B71" s="101" t="s">
        <v>1</v>
      </c>
      <c r="C71" s="102"/>
      <c r="D71" s="103" t="s">
        <v>45</v>
      </c>
      <c r="E71" s="102"/>
      <c r="F71" s="104"/>
      <c r="G71" s="103" t="s">
        <v>122</v>
      </c>
      <c r="H71" s="101"/>
      <c r="I71" s="104"/>
      <c r="J71" s="104"/>
      <c r="K71" s="104"/>
      <c r="L71" s="104"/>
    </row>
    <row r="72" spans="2:13" x14ac:dyDescent="0.25">
      <c r="B72" s="104" t="e">
        <f>VLOOKUP(calcu!$C$10,' lijst slimfix'!C5:V106,16)</f>
        <v>#N/A</v>
      </c>
      <c r="C72" s="104"/>
      <c r="D72" s="105" t="e">
        <f>IF(B72=0," ",VLOOKUP(calcu!$C$10,' lijst slimfix'!C5:V106,5))</f>
        <v>#N/A</v>
      </c>
      <c r="E72" s="104" t="e">
        <f>IF(B72=0," ","st/ds")</f>
        <v>#N/A</v>
      </c>
      <c r="F72" s="104"/>
      <c r="G72" s="107" t="e">
        <f>IF(B72=0," ",VLOOKUP(calcu!$C$10,' lijst slimfix'!C5:V106,17))</f>
        <v>#N/A</v>
      </c>
      <c r="H72" s="104" t="e">
        <f>IF(B72=0," ","ds")</f>
        <v>#N/A</v>
      </c>
      <c r="I72" s="104"/>
      <c r="J72" s="104"/>
      <c r="K72" s="104"/>
      <c r="L72" s="104"/>
      <c r="M72" s="24"/>
    </row>
    <row r="73" spans="2:13" x14ac:dyDescent="0.25">
      <c r="B73" s="104" t="e">
        <f>VLOOKUP(calcu!$C$10,' lijst slimfix'!C5:V106,18)</f>
        <v>#N/A</v>
      </c>
      <c r="C73" s="104"/>
      <c r="D73" s="105" t="e">
        <f>IF(B73=0," ",VLOOKUP(calcu!$C$10,' lijst slimfix'!C5:V106,10))</f>
        <v>#N/A</v>
      </c>
      <c r="E73" s="104" t="e">
        <f>IF(B73=0," ","st/ds")</f>
        <v>#N/A</v>
      </c>
      <c r="F73" s="104"/>
      <c r="G73" s="107" t="e">
        <f>IF(B73=0," ",VLOOKUP(calcu!$C$10,' lijst slimfix'!C5:V106,19))</f>
        <v>#N/A</v>
      </c>
      <c r="H73" s="104" t="e">
        <f>IF(B73=0," ","ds")</f>
        <v>#N/A</v>
      </c>
      <c r="I73" s="104"/>
      <c r="J73" s="104"/>
      <c r="K73" s="104"/>
      <c r="L73" s="104"/>
    </row>
    <row r="74" spans="2:13" x14ac:dyDescent="0.25">
      <c r="B74" s="104" t="e">
        <f>IF(G74=0," ","Volgplaatjes")</f>
        <v>#N/A</v>
      </c>
      <c r="C74" s="104"/>
      <c r="D74" s="105" t="e">
        <f>IF(G74=0," ",100)</f>
        <v>#N/A</v>
      </c>
      <c r="E74" s="104" t="e">
        <f>IF(G74=0," ","st/ds")</f>
        <v>#N/A</v>
      </c>
      <c r="F74" s="104"/>
      <c r="G74" s="107" t="e">
        <f>VLOOKUP(calcu!$C$10,' lijst slimfix'!C5:W106,20)</f>
        <v>#N/A</v>
      </c>
      <c r="H74" s="104" t="e">
        <f>IF(G74=0," ","ds")</f>
        <v>#N/A</v>
      </c>
      <c r="I74" s="104"/>
      <c r="J74" s="104"/>
      <c r="K74" s="104"/>
      <c r="L74" s="104"/>
    </row>
    <row r="75" spans="2:13" ht="17.25" x14ac:dyDescent="0.25">
      <c r="B75" s="104" t="s">
        <v>46</v>
      </c>
      <c r="C75" s="104"/>
      <c r="D75" s="105"/>
      <c r="E75" s="104"/>
      <c r="F75" s="104"/>
      <c r="G75" s="107" t="e">
        <f>VLOOKUP(calcu!$C$10,' lijst slimfix'!C5:W106,21)</f>
        <v>#N/A</v>
      </c>
      <c r="H75" s="104" t="s">
        <v>169</v>
      </c>
      <c r="I75" s="104"/>
      <c r="J75" s="104"/>
      <c r="K75" s="104"/>
      <c r="L75" s="104"/>
    </row>
    <row r="76" spans="2:13" x14ac:dyDescent="0.25">
      <c r="B76" s="104"/>
      <c r="C76" s="104"/>
      <c r="D76" s="104"/>
      <c r="E76" s="104"/>
      <c r="F76" s="104"/>
      <c r="G76" s="104"/>
      <c r="H76" s="104"/>
      <c r="I76" s="104"/>
      <c r="J76" s="104"/>
      <c r="K76" s="104"/>
      <c r="L76" s="104"/>
    </row>
    <row r="77" spans="2:13" x14ac:dyDescent="0.25">
      <c r="B77" s="25" t="s">
        <v>190</v>
      </c>
    </row>
    <row r="78" spans="2:13" x14ac:dyDescent="0.25">
      <c r="B78" s="25" t="s">
        <v>309</v>
      </c>
    </row>
  </sheetData>
  <sheetProtection algorithmName="SHA-512" hashValue="jQw5yAWgE7Vy71aEng4Sazx/Ygn5E40Ed/2TzFfLEczbpte/47n4arRtSPkNIVsIkHEdtH1LI9jP/Ibrkcxpsw==" saltValue="9mn0EP6/cytJOHWRb+E36Q==" spinCount="100000" sheet="1" objects="1" scenarios="1"/>
  <mergeCells count="6">
    <mergeCell ref="B16:L16"/>
    <mergeCell ref="B59:L59"/>
    <mergeCell ref="D14:J14"/>
    <mergeCell ref="F61:G61"/>
    <mergeCell ref="D30:H30"/>
    <mergeCell ref="D48:H48"/>
  </mergeCells>
  <conditionalFormatting sqref="B72">
    <cfRule type="cellIs" dxfId="31" priority="11" operator="equal">
      <formula>0</formula>
    </cfRule>
  </conditionalFormatting>
  <conditionalFormatting sqref="F62">
    <cfRule type="cellIs" dxfId="30" priority="10" operator="equal">
      <formula>0</formula>
    </cfRule>
  </conditionalFormatting>
  <conditionalFormatting sqref="F66">
    <cfRule type="cellIs" dxfId="29" priority="7" operator="equal">
      <formula>0</formula>
    </cfRule>
  </conditionalFormatting>
  <conditionalFormatting sqref="F67">
    <cfRule type="cellIs" dxfId="28" priority="6" operator="equal">
      <formula>0</formula>
    </cfRule>
  </conditionalFormatting>
  <conditionalFormatting sqref="B73">
    <cfRule type="cellIs" dxfId="27" priority="3" operator="equal">
      <formula>0</formula>
    </cfRule>
  </conditionalFormatting>
  <conditionalFormatting sqref="I62">
    <cfRule type="cellIs" dxfId="26" priority="2" operator="equal">
      <formula>0</formula>
    </cfRule>
  </conditionalFormatting>
  <conditionalFormatting sqref="G74">
    <cfRule type="cellIs" dxfId="25" priority="1" operator="equal">
      <formula>0</formula>
    </cfRule>
  </conditionalFormatting>
  <dataValidations count="2">
    <dataValidation type="whole" allowBlank="1" showInputMessage="1" showErrorMessage="1" errorTitle="lengte" error="Lengte mag min. 1.000 mm en max. 7.520 mm zijn" sqref="J32" xr:uid="{0D6F26FA-FBAD-404C-BB32-BEEE3B5AF122}">
      <formula1>1000</formula1>
      <formula2>7520</formula2>
    </dataValidation>
    <dataValidation type="whole" allowBlank="1" showInputMessage="1" showErrorMessage="1" errorTitle="Lengte" error="Lengte mag min. 1.000 mm en max. 7.520 mm zijn" sqref="J50" xr:uid="{F84B9E50-8950-43EC-8292-C954A57608F0}">
      <formula1>1000</formula1>
      <formula2>7520</formula2>
    </dataValidation>
  </dataValidations>
  <pageMargins left="0.51181102362204722" right="0" top="0.74803149606299213" bottom="0.74803149606299213" header="0.31496062992125984" footer="0.31496062992125984"/>
  <pageSetup paperSize="9" scale="70" orientation="portrait" r:id="rId1"/>
  <rowBreaks count="1" manualBreakCount="1">
    <brk id="77" max="12"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A2F20FE-4F5C-4AF1-B239-F55E1D4304BA}">
          <x14:formula1>
            <xm:f>'lijst RC'!$A$2:$A$11</xm:f>
          </x14:formula1>
          <xm:sqref>J11</xm:sqref>
        </x14:dataValidation>
        <x14:dataValidation type="list" allowBlank="1" showInputMessage="1" showErrorMessage="1" xr:uid="{2FE27EDD-7E07-46D2-9F10-5FA071E6BC82}">
          <x14:formula1>
            <xm:f>' lijst slimfix'!$A$124:$A$126</xm:f>
          </x14:formula1>
          <xm:sqref>D52 D35</xm:sqref>
        </x14:dataValidation>
        <x14:dataValidation type="list" allowBlank="1" showInputMessage="1" showErrorMessage="1" xr:uid="{92A72372-2ACC-42C6-A06F-C01319AFABB2}">
          <x14:formula1>
            <xm:f>' lijst slimfix'!$A$131:$A$132</xm:f>
          </x14:formula1>
          <xm:sqref>D48:H48 D30:H30</xm:sqref>
        </x14:dataValidation>
        <x14:dataValidation type="list" allowBlank="1" showInputMessage="1" showErrorMessage="1" xr:uid="{E182CAE8-D560-4821-BB54-74BFA22B8721}">
          <x14:formula1>
            <xm:f>' lijst slimfix'!$A$110:$A$121</xm:f>
          </x14:formula1>
          <xm:sqref>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6246-7E8F-460A-89B3-9ECC22836C8A}">
  <dimension ref="B2:M72"/>
  <sheetViews>
    <sheetView showGridLines="0" zoomScaleNormal="100" workbookViewId="0">
      <selection activeCell="J39" sqref="J39"/>
    </sheetView>
  </sheetViews>
  <sheetFormatPr defaultRowHeight="15" x14ac:dyDescent="0.25"/>
  <cols>
    <col min="1" max="1" width="2.85546875" style="17" customWidth="1"/>
    <col min="2" max="2" width="17.28515625" style="17" bestFit="1" customWidth="1"/>
    <col min="3" max="3" width="20.7109375" style="17" customWidth="1"/>
    <col min="4" max="4" width="21.28515625" style="17" customWidth="1"/>
    <col min="5" max="5" width="2.85546875" style="17" customWidth="1"/>
    <col min="6" max="6" width="7.7109375" style="17" customWidth="1"/>
    <col min="7" max="7" width="8.140625" style="17" bestFit="1" customWidth="1"/>
    <col min="8" max="8" width="15" style="17" customWidth="1"/>
    <col min="9" max="9" width="6" style="17" customWidth="1"/>
    <col min="10" max="10" width="13.85546875" style="17" customWidth="1"/>
    <col min="11" max="11" width="5.140625" style="17" customWidth="1"/>
    <col min="12" max="12" width="11" style="17" customWidth="1"/>
    <col min="13" max="13" width="3.42578125" style="17" customWidth="1"/>
    <col min="14" max="16384" width="9.140625" style="17"/>
  </cols>
  <sheetData>
    <row r="2" spans="2:12" ht="21" x14ac:dyDescent="0.25">
      <c r="B2" s="106" t="s">
        <v>272</v>
      </c>
      <c r="C2" s="11"/>
      <c r="D2" s="11"/>
      <c r="E2" s="11"/>
      <c r="F2" s="11"/>
      <c r="G2" s="11"/>
      <c r="H2" s="11"/>
      <c r="I2" s="11"/>
      <c r="J2" s="11"/>
      <c r="K2" s="11"/>
      <c r="L2" s="11"/>
    </row>
    <row r="3" spans="2:12" ht="7.5" customHeight="1" x14ac:dyDescent="0.25">
      <c r="B3" s="11"/>
      <c r="C3" s="11"/>
      <c r="D3" s="11"/>
      <c r="E3" s="11"/>
      <c r="F3" s="11"/>
      <c r="G3" s="11"/>
      <c r="H3" s="11"/>
      <c r="I3" s="11"/>
      <c r="J3" s="11"/>
      <c r="K3" s="11"/>
      <c r="L3" s="11"/>
    </row>
    <row r="4" spans="2:12" x14ac:dyDescent="0.25">
      <c r="B4" s="11" t="s">
        <v>173</v>
      </c>
      <c r="C4" s="11"/>
      <c r="D4" s="11"/>
      <c r="E4" s="11"/>
      <c r="F4" s="11"/>
      <c r="G4" s="11"/>
      <c r="H4" s="11"/>
      <c r="I4" s="11"/>
      <c r="J4" s="11"/>
      <c r="K4" s="11"/>
      <c r="L4" s="11"/>
    </row>
    <row r="5" spans="2:12" ht="17.25" x14ac:dyDescent="0.25">
      <c r="B5" s="11" t="s">
        <v>271</v>
      </c>
      <c r="C5" s="11"/>
      <c r="D5" s="11"/>
      <c r="E5" s="11"/>
      <c r="F5" s="11"/>
      <c r="G5" s="11"/>
      <c r="H5" s="11"/>
      <c r="I5" s="11"/>
      <c r="J5" s="11"/>
      <c r="K5" s="11"/>
      <c r="L5" s="11"/>
    </row>
    <row r="6" spans="2:12" x14ac:dyDescent="0.25">
      <c r="B6" s="11" t="s">
        <v>175</v>
      </c>
      <c r="C6" s="11"/>
      <c r="D6" s="11"/>
      <c r="E6" s="11"/>
      <c r="F6" s="11"/>
      <c r="G6" s="11"/>
      <c r="H6" s="11"/>
      <c r="I6" s="11"/>
      <c r="J6" s="11"/>
      <c r="K6" s="11"/>
      <c r="L6" s="11"/>
    </row>
    <row r="7" spans="2:12" x14ac:dyDescent="0.25">
      <c r="B7" s="11" t="s">
        <v>176</v>
      </c>
      <c r="C7" s="11"/>
      <c r="D7" s="11"/>
      <c r="E7" s="11"/>
      <c r="F7" s="11"/>
      <c r="G7" s="11"/>
      <c r="H7" s="11"/>
      <c r="I7" s="11"/>
      <c r="J7" s="11"/>
      <c r="K7" s="11"/>
      <c r="L7" s="11"/>
    </row>
    <row r="8" spans="2:12" x14ac:dyDescent="0.25">
      <c r="B8" s="11"/>
      <c r="C8" s="11"/>
      <c r="D8" s="11"/>
      <c r="E8" s="11"/>
      <c r="F8" s="11"/>
      <c r="G8" s="11"/>
      <c r="H8" s="11"/>
      <c r="I8" s="11"/>
      <c r="J8" s="11"/>
      <c r="K8" s="11"/>
      <c r="L8" s="11"/>
    </row>
    <row r="9" spans="2:12" x14ac:dyDescent="0.25">
      <c r="B9" s="133" t="s">
        <v>1</v>
      </c>
      <c r="C9" s="133"/>
      <c r="D9" s="133"/>
      <c r="E9" s="133"/>
      <c r="F9" s="133"/>
      <c r="G9" s="133"/>
      <c r="H9" s="133"/>
      <c r="I9" s="133"/>
      <c r="J9" s="133"/>
      <c r="K9" s="133"/>
      <c r="L9" s="133"/>
    </row>
    <row r="10" spans="2:12" x14ac:dyDescent="0.25">
      <c r="B10" s="20"/>
      <c r="C10" s="20"/>
      <c r="D10" s="20"/>
      <c r="E10" s="20"/>
      <c r="F10" s="20"/>
      <c r="G10" s="20"/>
      <c r="H10" s="20"/>
      <c r="I10" s="20"/>
      <c r="J10" s="130"/>
      <c r="K10" s="20"/>
      <c r="L10" s="20"/>
    </row>
    <row r="11" spans="2:12" ht="18.75" x14ac:dyDescent="0.35">
      <c r="B11" s="21" t="s">
        <v>41</v>
      </c>
      <c r="C11" s="20"/>
      <c r="D11" s="148" t="s">
        <v>22</v>
      </c>
      <c r="E11" s="20"/>
      <c r="F11" s="20"/>
      <c r="G11" s="20"/>
      <c r="H11" s="98" t="s">
        <v>42</v>
      </c>
      <c r="I11" s="20"/>
      <c r="J11" s="126"/>
      <c r="K11" s="20"/>
      <c r="L11" s="20"/>
    </row>
    <row r="12" spans="2:12" x14ac:dyDescent="0.25">
      <c r="B12" s="20"/>
      <c r="C12" s="20"/>
      <c r="D12" s="20"/>
      <c r="E12" s="20"/>
      <c r="F12" s="20"/>
      <c r="G12" s="20"/>
      <c r="H12" s="20"/>
      <c r="I12" s="20"/>
      <c r="J12" s="20"/>
      <c r="K12" s="20"/>
      <c r="L12" s="20"/>
    </row>
    <row r="13" spans="2:12" ht="18" customHeight="1" x14ac:dyDescent="0.25">
      <c r="B13" s="21" t="s">
        <v>200</v>
      </c>
      <c r="C13" s="20"/>
      <c r="D13" s="197"/>
      <c r="E13" s="198"/>
      <c r="F13" s="198"/>
      <c r="G13" s="198"/>
      <c r="H13" s="198"/>
      <c r="I13" s="198"/>
      <c r="J13" s="199"/>
      <c r="K13" s="20"/>
      <c r="L13" s="20"/>
    </row>
    <row r="14" spans="2:12" x14ac:dyDescent="0.25">
      <c r="B14" s="22"/>
      <c r="C14" s="20"/>
      <c r="D14" s="20"/>
      <c r="E14" s="20"/>
      <c r="F14" s="20"/>
      <c r="G14" s="20"/>
      <c r="H14" s="20"/>
      <c r="I14" s="20"/>
      <c r="J14" s="20"/>
      <c r="K14" s="20"/>
      <c r="L14" s="20"/>
    </row>
    <row r="15" spans="2:12" x14ac:dyDescent="0.25">
      <c r="B15" s="190" t="s">
        <v>44</v>
      </c>
      <c r="C15" s="190"/>
      <c r="D15" s="190"/>
      <c r="E15" s="190"/>
      <c r="F15" s="190"/>
      <c r="G15" s="190"/>
      <c r="H15" s="190"/>
      <c r="I15" s="190"/>
      <c r="J15" s="190"/>
      <c r="K15" s="190"/>
      <c r="L15" s="190"/>
    </row>
    <row r="16" spans="2:12" x14ac:dyDescent="0.25">
      <c r="B16" s="19"/>
      <c r="C16" s="19"/>
      <c r="D16" s="19"/>
      <c r="E16" s="19"/>
      <c r="F16" s="19"/>
      <c r="G16" s="19"/>
      <c r="H16" s="19"/>
      <c r="I16" s="19"/>
      <c r="J16" s="19"/>
      <c r="K16" s="19"/>
      <c r="L16" s="19"/>
    </row>
    <row r="17" spans="2:12" x14ac:dyDescent="0.25">
      <c r="B17" s="19"/>
      <c r="C17" s="19"/>
      <c r="D17" s="19"/>
      <c r="E17" s="19"/>
      <c r="F17" s="19"/>
      <c r="G17" s="19"/>
      <c r="H17" s="19"/>
      <c r="I17" s="19"/>
      <c r="J17" s="19"/>
      <c r="K17" s="19"/>
      <c r="L17" s="19"/>
    </row>
    <row r="18" spans="2:12" x14ac:dyDescent="0.25">
      <c r="B18" s="19"/>
      <c r="C18" s="19"/>
      <c r="D18" s="19"/>
      <c r="E18" s="19"/>
      <c r="F18" s="19"/>
      <c r="G18" s="19"/>
      <c r="H18" s="19"/>
      <c r="I18" s="19"/>
      <c r="J18" s="19"/>
      <c r="K18" s="19"/>
      <c r="L18" s="19"/>
    </row>
    <row r="19" spans="2:12" x14ac:dyDescent="0.25">
      <c r="B19" s="19"/>
      <c r="C19" s="19"/>
      <c r="D19" s="19"/>
      <c r="E19" s="19"/>
      <c r="F19" s="19"/>
      <c r="G19" s="19"/>
      <c r="H19" s="19"/>
      <c r="I19" s="19"/>
      <c r="J19" s="19" t="s">
        <v>188</v>
      </c>
      <c r="K19" s="19" t="s">
        <v>187</v>
      </c>
      <c r="L19" s="19"/>
    </row>
    <row r="20" spans="2:12" x14ac:dyDescent="0.25">
      <c r="B20" s="19"/>
      <c r="C20" s="19"/>
      <c r="D20" s="19"/>
      <c r="E20" s="19"/>
      <c r="F20" s="19"/>
      <c r="G20" s="19"/>
      <c r="H20" s="19"/>
      <c r="I20" s="19"/>
      <c r="J20" s="19"/>
      <c r="K20" s="19"/>
      <c r="L20" s="19"/>
    </row>
    <row r="21" spans="2:12" x14ac:dyDescent="0.25">
      <c r="B21" s="19"/>
      <c r="C21" s="19"/>
      <c r="D21" s="19"/>
      <c r="E21" s="19"/>
      <c r="F21" s="19"/>
      <c r="G21" s="19"/>
      <c r="H21" s="19"/>
      <c r="I21" s="19"/>
      <c r="J21" s="19"/>
      <c r="K21" s="19"/>
      <c r="L21" s="19"/>
    </row>
    <row r="22" spans="2:12" x14ac:dyDescent="0.25">
      <c r="B22" s="19"/>
      <c r="C22" s="19"/>
      <c r="D22" s="19"/>
      <c r="E22" s="19"/>
      <c r="F22" s="19"/>
      <c r="G22" s="19"/>
      <c r="H22" s="19"/>
      <c r="I22" s="19"/>
      <c r="J22" s="19"/>
      <c r="K22" s="19"/>
      <c r="L22" s="19"/>
    </row>
    <row r="23" spans="2:12" x14ac:dyDescent="0.25">
      <c r="B23" s="19"/>
      <c r="C23" s="19"/>
      <c r="D23" s="19"/>
      <c r="E23" s="19"/>
      <c r="F23" s="19"/>
      <c r="G23" s="19"/>
      <c r="H23" s="19"/>
      <c r="I23" s="19"/>
      <c r="J23" s="19"/>
      <c r="K23" s="19"/>
      <c r="L23" s="19"/>
    </row>
    <row r="24" spans="2:12" x14ac:dyDescent="0.25">
      <c r="B24" s="19"/>
      <c r="C24" s="19"/>
      <c r="D24" s="19"/>
      <c r="E24" s="19"/>
      <c r="F24" s="19"/>
      <c r="G24" s="19"/>
      <c r="H24" s="19"/>
      <c r="I24" s="19"/>
      <c r="J24" s="19"/>
      <c r="K24" s="19"/>
      <c r="L24" s="19"/>
    </row>
    <row r="25" spans="2:12" x14ac:dyDescent="0.25">
      <c r="B25" s="19"/>
      <c r="C25" s="19"/>
      <c r="D25" s="19"/>
      <c r="E25" s="19"/>
      <c r="F25" s="19"/>
      <c r="G25" s="19"/>
      <c r="H25" s="19"/>
      <c r="I25" s="19"/>
      <c r="J25" s="19"/>
      <c r="K25" s="19"/>
      <c r="L25" s="19"/>
    </row>
    <row r="26" spans="2:12" ht="12" customHeight="1" x14ac:dyDescent="0.25">
      <c r="B26" s="19"/>
      <c r="C26" s="19"/>
      <c r="D26" s="19"/>
      <c r="E26" s="19"/>
      <c r="F26" s="19"/>
      <c r="G26" s="19"/>
      <c r="H26" s="19"/>
      <c r="I26" s="19"/>
      <c r="J26" s="19"/>
      <c r="K26" s="19"/>
      <c r="L26" s="19"/>
    </row>
    <row r="27" spans="2:12" x14ac:dyDescent="0.25">
      <c r="B27" s="131" t="s">
        <v>205</v>
      </c>
      <c r="C27" s="132"/>
      <c r="D27" s="132"/>
      <c r="E27" s="132"/>
      <c r="F27" s="132"/>
      <c r="G27" s="132"/>
      <c r="H27" s="132"/>
      <c r="I27" s="132"/>
      <c r="J27" s="132"/>
      <c r="K27" s="132"/>
      <c r="L27" s="132"/>
    </row>
    <row r="28" spans="2:12" x14ac:dyDescent="0.25">
      <c r="B28" s="20"/>
      <c r="C28" s="19"/>
      <c r="D28" s="19"/>
      <c r="E28" s="19"/>
      <c r="F28" s="19"/>
      <c r="G28" s="19"/>
      <c r="H28" s="19"/>
      <c r="I28" s="19"/>
      <c r="J28" s="130"/>
      <c r="K28" s="19"/>
      <c r="L28" s="19"/>
    </row>
    <row r="29" spans="2:12" x14ac:dyDescent="0.25">
      <c r="B29" s="21" t="s">
        <v>196</v>
      </c>
      <c r="C29" s="19"/>
      <c r="D29" s="144"/>
      <c r="E29" s="19"/>
      <c r="F29" s="19"/>
      <c r="G29" s="21" t="s">
        <v>197</v>
      </c>
      <c r="H29" s="19"/>
      <c r="I29" s="19"/>
      <c r="J29" s="144"/>
      <c r="K29" s="19"/>
      <c r="L29" s="19"/>
    </row>
    <row r="30" spans="2:12" x14ac:dyDescent="0.25">
      <c r="B30" s="21"/>
      <c r="C30" s="20"/>
      <c r="D30" s="20"/>
      <c r="E30" s="20"/>
      <c r="F30" s="20"/>
      <c r="G30" s="20"/>
      <c r="H30" s="20"/>
      <c r="I30" s="20"/>
      <c r="J30" s="20"/>
      <c r="K30" s="20"/>
      <c r="L30" s="20"/>
    </row>
    <row r="31" spans="2:12" x14ac:dyDescent="0.25">
      <c r="B31" s="21"/>
      <c r="C31" s="20"/>
      <c r="D31" s="20"/>
      <c r="E31" s="20"/>
      <c r="F31" s="20"/>
      <c r="G31" s="20"/>
      <c r="H31" s="20"/>
      <c r="I31" s="20"/>
      <c r="J31" s="20"/>
      <c r="K31" s="20"/>
      <c r="L31" s="20"/>
    </row>
    <row r="32" spans="2:12" x14ac:dyDescent="0.25">
      <c r="B32" s="21" t="s">
        <v>204</v>
      </c>
      <c r="C32" s="20"/>
      <c r="D32" s="127"/>
      <c r="E32" s="20"/>
      <c r="F32" s="20"/>
      <c r="G32" s="20"/>
      <c r="H32" s="20"/>
      <c r="I32" s="20"/>
      <c r="J32" s="20"/>
      <c r="K32" s="20"/>
      <c r="L32" s="20"/>
    </row>
    <row r="33" spans="2:12" x14ac:dyDescent="0.25">
      <c r="B33" s="21"/>
      <c r="C33" s="20"/>
      <c r="D33" s="149"/>
      <c r="E33" s="20"/>
      <c r="F33" s="20"/>
      <c r="G33" s="20"/>
      <c r="H33" s="20"/>
      <c r="I33" s="20"/>
      <c r="J33" s="20"/>
      <c r="K33" s="20"/>
      <c r="L33" s="20"/>
    </row>
    <row r="34" spans="2:12" x14ac:dyDescent="0.25">
      <c r="B34" s="22"/>
      <c r="C34" s="20"/>
      <c r="D34" s="20"/>
      <c r="E34" s="20"/>
      <c r="F34" s="20"/>
      <c r="G34" s="20"/>
      <c r="H34" s="20"/>
      <c r="I34" s="20"/>
      <c r="J34" s="20"/>
      <c r="K34" s="20"/>
      <c r="L34" s="20"/>
    </row>
    <row r="35" spans="2:12" x14ac:dyDescent="0.25">
      <c r="B35" s="21" t="s">
        <v>172</v>
      </c>
      <c r="C35" s="20"/>
      <c r="D35" s="130" t="s">
        <v>186</v>
      </c>
      <c r="E35" s="20"/>
      <c r="F35" s="20"/>
      <c r="G35" s="20"/>
      <c r="H35" s="20"/>
      <c r="I35" s="20"/>
      <c r="J35" s="20"/>
      <c r="K35" s="20"/>
      <c r="L35" s="20"/>
    </row>
    <row r="36" spans="2:12" x14ac:dyDescent="0.25">
      <c r="B36" s="21" t="s">
        <v>118</v>
      </c>
      <c r="C36" s="20"/>
      <c r="D36" s="127">
        <v>1</v>
      </c>
      <c r="E36" s="20"/>
      <c r="F36" s="20"/>
      <c r="G36" s="20"/>
      <c r="H36" s="20"/>
      <c r="I36" s="20"/>
      <c r="J36" s="20"/>
      <c r="K36" s="20"/>
      <c r="L36" s="20"/>
    </row>
    <row r="37" spans="2:12" x14ac:dyDescent="0.25">
      <c r="B37" s="21"/>
      <c r="C37" s="20"/>
      <c r="D37" s="149"/>
      <c r="E37" s="20"/>
      <c r="F37" s="20"/>
      <c r="G37" s="20"/>
      <c r="H37" s="20"/>
      <c r="I37" s="20"/>
      <c r="J37" s="20"/>
      <c r="K37" s="20"/>
      <c r="L37" s="20"/>
    </row>
    <row r="38" spans="2:12" x14ac:dyDescent="0.25">
      <c r="B38" s="131" t="s">
        <v>206</v>
      </c>
      <c r="C38" s="132"/>
      <c r="D38" s="132"/>
      <c r="E38" s="132"/>
      <c r="F38" s="132"/>
      <c r="G38" s="132"/>
      <c r="H38" s="132"/>
      <c r="I38" s="132"/>
      <c r="J38" s="132"/>
      <c r="K38" s="132"/>
      <c r="L38" s="132"/>
    </row>
    <row r="39" spans="2:12" x14ac:dyDescent="0.25">
      <c r="B39" s="20"/>
      <c r="C39" s="19"/>
      <c r="D39" s="19"/>
      <c r="E39" s="19"/>
      <c r="F39" s="19"/>
      <c r="G39" s="19"/>
      <c r="H39" s="19"/>
      <c r="I39" s="19"/>
      <c r="J39" s="130"/>
      <c r="K39" s="19"/>
      <c r="L39" s="19"/>
    </row>
    <row r="40" spans="2:12" x14ac:dyDescent="0.25">
      <c r="B40" s="21" t="s">
        <v>196</v>
      </c>
      <c r="C40" s="19"/>
      <c r="D40" s="144"/>
      <c r="E40" s="19"/>
      <c r="F40" s="19"/>
      <c r="G40" s="21" t="s">
        <v>197</v>
      </c>
      <c r="H40" s="19"/>
      <c r="I40" s="19"/>
      <c r="J40" s="144"/>
      <c r="K40" s="19"/>
      <c r="L40" s="19"/>
    </row>
    <row r="41" spans="2:12" x14ac:dyDescent="0.25">
      <c r="B41" s="21"/>
      <c r="C41" s="20"/>
      <c r="D41" s="20"/>
      <c r="E41" s="20"/>
      <c r="F41" s="20"/>
      <c r="G41" s="20"/>
      <c r="H41" s="20"/>
      <c r="I41" s="20"/>
      <c r="J41" s="20"/>
      <c r="K41" s="20"/>
      <c r="L41" s="20"/>
    </row>
    <row r="42" spans="2:12" x14ac:dyDescent="0.25">
      <c r="B42" s="21" t="s">
        <v>204</v>
      </c>
      <c r="C42" s="20"/>
      <c r="D42" s="127"/>
      <c r="E42" s="20"/>
      <c r="F42" s="20"/>
      <c r="G42" s="20"/>
      <c r="H42" s="20"/>
      <c r="I42" s="20"/>
      <c r="J42" s="20"/>
      <c r="K42" s="20"/>
      <c r="L42" s="20"/>
    </row>
    <row r="43" spans="2:12" x14ac:dyDescent="0.25">
      <c r="B43" s="21"/>
      <c r="C43" s="20"/>
      <c r="D43" s="149"/>
      <c r="E43" s="20"/>
      <c r="F43" s="20"/>
      <c r="G43" s="20"/>
      <c r="H43" s="20"/>
      <c r="I43" s="20"/>
      <c r="J43" s="20"/>
      <c r="K43" s="20"/>
      <c r="L43" s="20"/>
    </row>
    <row r="44" spans="2:12" x14ac:dyDescent="0.25">
      <c r="B44" s="21" t="s">
        <v>172</v>
      </c>
      <c r="C44" s="20"/>
      <c r="D44" s="130" t="s">
        <v>198</v>
      </c>
      <c r="E44" s="20"/>
      <c r="F44" s="20"/>
      <c r="G44" s="20"/>
      <c r="H44" s="20"/>
      <c r="I44" s="20"/>
      <c r="J44" s="20"/>
      <c r="K44" s="20"/>
      <c r="L44" s="20"/>
    </row>
    <row r="45" spans="2:12" x14ac:dyDescent="0.25">
      <c r="B45" s="21" t="s">
        <v>118</v>
      </c>
      <c r="C45" s="20"/>
      <c r="D45" s="127">
        <v>1</v>
      </c>
      <c r="E45" s="20"/>
      <c r="F45" s="20"/>
      <c r="G45" s="20"/>
      <c r="H45" s="20"/>
      <c r="I45" s="20"/>
      <c r="J45" s="20"/>
      <c r="K45" s="20"/>
      <c r="L45" s="20"/>
    </row>
    <row r="46" spans="2:12" x14ac:dyDescent="0.25">
      <c r="B46" s="11"/>
      <c r="C46" s="11"/>
      <c r="D46" s="23"/>
      <c r="E46" s="11"/>
      <c r="F46" s="11"/>
      <c r="G46" s="11"/>
      <c r="H46" s="11"/>
      <c r="I46" s="11"/>
      <c r="J46" s="11"/>
      <c r="K46" s="11"/>
      <c r="L46" s="11"/>
    </row>
    <row r="47" spans="2:12" x14ac:dyDescent="0.25">
      <c r="B47" s="191" t="s">
        <v>179</v>
      </c>
      <c r="C47" s="191"/>
      <c r="D47" s="191"/>
      <c r="E47" s="191"/>
      <c r="F47" s="191"/>
      <c r="G47" s="191"/>
      <c r="H47" s="191"/>
      <c r="I47" s="191"/>
      <c r="J47" s="191"/>
      <c r="K47" s="191"/>
      <c r="L47" s="191"/>
    </row>
    <row r="48" spans="2:12" ht="10.5" customHeight="1" x14ac:dyDescent="0.25">
      <c r="B48" s="111"/>
      <c r="C48" s="111"/>
      <c r="D48" s="111"/>
      <c r="E48" s="111"/>
      <c r="F48" s="111"/>
      <c r="G48" s="111"/>
      <c r="H48" s="111"/>
      <c r="I48" s="111"/>
      <c r="J48" s="111"/>
      <c r="K48" s="111"/>
      <c r="L48" s="111"/>
    </row>
    <row r="49" spans="2:13" x14ac:dyDescent="0.25">
      <c r="B49" s="112" t="s">
        <v>40</v>
      </c>
      <c r="C49" s="112"/>
      <c r="D49" s="117"/>
      <c r="E49" s="117"/>
      <c r="F49" s="200" t="s">
        <v>180</v>
      </c>
      <c r="G49" s="201"/>
      <c r="H49" s="112"/>
      <c r="I49" s="116" t="s">
        <v>177</v>
      </c>
      <c r="J49" s="111"/>
      <c r="K49" s="117"/>
      <c r="L49" s="117"/>
    </row>
    <row r="50" spans="2:13" x14ac:dyDescent="0.25">
      <c r="B50" s="145" t="s">
        <v>208</v>
      </c>
      <c r="C50" s="112"/>
      <c r="D50" s="117"/>
      <c r="E50" s="117"/>
      <c r="F50" s="118" t="e">
        <f>VLOOKUP('lijst reno'!M5,'lijst reno'!C5:F13,4)</f>
        <v>#N/A</v>
      </c>
      <c r="G50" s="117"/>
      <c r="H50" s="115"/>
      <c r="I50" s="113">
        <v>3</v>
      </c>
      <c r="J50" s="115" t="s">
        <v>189</v>
      </c>
      <c r="K50" s="117"/>
      <c r="L50" s="117"/>
    </row>
    <row r="51" spans="2:13" x14ac:dyDescent="0.25">
      <c r="B51" s="115"/>
      <c r="C51" s="111"/>
      <c r="D51" s="114"/>
      <c r="E51" s="115"/>
      <c r="F51" s="111"/>
      <c r="G51" s="111"/>
      <c r="H51" s="113"/>
      <c r="I51" s="115"/>
      <c r="J51" s="111"/>
      <c r="K51" s="111"/>
      <c r="L51" s="111"/>
    </row>
    <row r="52" spans="2:13" x14ac:dyDescent="0.25">
      <c r="B52" s="112" t="str">
        <f>IF($D$40=0," ","Dakvlak 2")</f>
        <v xml:space="preserve"> </v>
      </c>
      <c r="C52" s="111"/>
      <c r="D52" s="114"/>
      <c r="E52" s="115"/>
      <c r="F52" s="111"/>
      <c r="G52" s="111"/>
      <c r="H52" s="113"/>
      <c r="I52" s="115"/>
      <c r="J52" s="111"/>
      <c r="K52" s="111"/>
      <c r="L52" s="111"/>
    </row>
    <row r="53" spans="2:13" x14ac:dyDescent="0.25">
      <c r="B53" s="145" t="str">
        <f>IF($D$40=0," ","Door de tengel t.p.v. elke onderliggende gording")</f>
        <v xml:space="preserve"> </v>
      </c>
      <c r="C53" s="111"/>
      <c r="D53" s="117"/>
      <c r="E53" s="117"/>
      <c r="F53" s="118" t="str">
        <f>IF($D$40=0," ",VLOOKUP('lijst reno'!M5,'lijst reno'!C5:F13,7))</f>
        <v xml:space="preserve"> </v>
      </c>
      <c r="G53" s="111"/>
      <c r="H53" s="115"/>
      <c r="I53" s="113" t="str">
        <f>IF($D$40=0," ",3)</f>
        <v xml:space="preserve"> </v>
      </c>
      <c r="J53" s="115" t="str">
        <f>IF($D$40=0," ","per oplegging")</f>
        <v xml:space="preserve"> </v>
      </c>
      <c r="K53" s="111"/>
      <c r="L53" s="117"/>
    </row>
    <row r="54" spans="2:13" x14ac:dyDescent="0.25">
      <c r="B54" s="111"/>
      <c r="C54" s="111"/>
      <c r="D54" s="111"/>
      <c r="E54" s="111"/>
      <c r="F54" s="111"/>
      <c r="G54" s="111"/>
      <c r="H54" s="111"/>
      <c r="I54" s="111"/>
      <c r="J54" s="111"/>
      <c r="K54" s="111"/>
      <c r="L54" s="111"/>
    </row>
    <row r="55" spans="2:13" x14ac:dyDescent="0.25">
      <c r="B55" s="134" t="s">
        <v>178</v>
      </c>
      <c r="C55" s="134"/>
      <c r="D55" s="134"/>
      <c r="E55" s="134"/>
      <c r="F55" s="134"/>
      <c r="G55" s="134"/>
      <c r="H55" s="134"/>
      <c r="I55" s="134"/>
      <c r="J55" s="134"/>
      <c r="K55" s="134"/>
      <c r="L55" s="134"/>
    </row>
    <row r="56" spans="2:13" ht="9" customHeight="1" x14ac:dyDescent="0.25">
      <c r="B56" s="100"/>
      <c r="C56" s="100"/>
      <c r="D56" s="100"/>
      <c r="E56" s="100"/>
      <c r="F56" s="100"/>
      <c r="G56" s="100"/>
      <c r="H56" s="100"/>
      <c r="I56" s="100"/>
      <c r="J56" s="100"/>
      <c r="K56" s="100"/>
      <c r="L56" s="100"/>
    </row>
    <row r="57" spans="2:13" x14ac:dyDescent="0.25">
      <c r="B57" s="101" t="s">
        <v>1</v>
      </c>
      <c r="C57" s="156"/>
      <c r="D57" s="135" t="s">
        <v>45</v>
      </c>
      <c r="E57" s="102"/>
      <c r="F57" s="104"/>
      <c r="G57" s="135" t="s">
        <v>122</v>
      </c>
      <c r="H57" s="101"/>
      <c r="I57" s="104"/>
      <c r="J57" s="104"/>
      <c r="K57" s="104"/>
      <c r="L57" s="104"/>
    </row>
    <row r="58" spans="2:13" x14ac:dyDescent="0.25">
      <c r="B58" s="119" t="s">
        <v>7</v>
      </c>
      <c r="C58" s="104" t="e">
        <f>F50</f>
        <v>#N/A</v>
      </c>
      <c r="D58" s="105" t="s">
        <v>210</v>
      </c>
      <c r="E58" s="104"/>
      <c r="F58" s="104"/>
      <c r="G58" s="107">
        <f>CEILING('lijst reno'!I5/100,1)</f>
        <v>0</v>
      </c>
      <c r="H58" s="104" t="e">
        <f>IF(C58=0," ","ds")</f>
        <v>#N/A</v>
      </c>
      <c r="I58" s="104"/>
      <c r="J58" s="104"/>
      <c r="K58" s="104"/>
      <c r="L58" s="104"/>
      <c r="M58" s="24"/>
    </row>
    <row r="59" spans="2:13" ht="8.25" customHeight="1" x14ac:dyDescent="0.25">
      <c r="B59" s="119"/>
      <c r="C59" s="104"/>
      <c r="D59" s="105"/>
      <c r="E59" s="104"/>
      <c r="F59" s="104"/>
      <c r="G59" s="107"/>
      <c r="H59" s="104"/>
      <c r="I59" s="104"/>
      <c r="J59" s="104"/>
      <c r="K59" s="104"/>
      <c r="L59" s="104"/>
      <c r="M59" s="24"/>
    </row>
    <row r="60" spans="2:13" x14ac:dyDescent="0.25">
      <c r="B60" s="157" t="s">
        <v>211</v>
      </c>
      <c r="C60" s="158"/>
      <c r="D60" s="159"/>
      <c r="E60" s="158"/>
      <c r="F60" s="158"/>
      <c r="G60" s="160"/>
      <c r="H60" s="158"/>
      <c r="I60" s="158"/>
      <c r="J60" s="158"/>
      <c r="K60" s="158"/>
      <c r="L60" s="158"/>
      <c r="M60" s="24"/>
    </row>
    <row r="61" spans="2:13" ht="17.25" x14ac:dyDescent="0.25">
      <c r="B61" s="161" t="s">
        <v>212</v>
      </c>
      <c r="C61" s="158"/>
      <c r="D61" s="159" t="s">
        <v>213</v>
      </c>
      <c r="E61" s="158"/>
      <c r="F61" s="158"/>
      <c r="G61" s="162">
        <f>CEILING(((J29/1000)*'lijst reno'!G5)+((J40/1000)*'lijst reno'!H5),1)</f>
        <v>0</v>
      </c>
      <c r="H61" s="158" t="s">
        <v>215</v>
      </c>
      <c r="I61" s="163">
        <f>CEILING(G61/8,1)</f>
        <v>0</v>
      </c>
      <c r="J61" s="158" t="s">
        <v>214</v>
      </c>
      <c r="K61" s="158"/>
      <c r="L61" s="158"/>
    </row>
    <row r="62" spans="2:13" ht="8.25" customHeight="1" x14ac:dyDescent="0.25">
      <c r="B62" s="158"/>
      <c r="C62" s="158"/>
      <c r="D62" s="159"/>
      <c r="E62" s="158"/>
      <c r="F62" s="158"/>
      <c r="G62" s="160"/>
      <c r="H62" s="158"/>
      <c r="I62" s="163"/>
      <c r="J62" s="158"/>
      <c r="K62" s="158"/>
      <c r="L62" s="158"/>
    </row>
    <row r="63" spans="2:13" x14ac:dyDescent="0.25">
      <c r="B63" s="161" t="e">
        <f>VLOOKUP('lijst reno'!M5,'lijst reno'!C5:K13,8)</f>
        <v>#N/A</v>
      </c>
      <c r="C63" s="158"/>
      <c r="D63" s="159" t="e">
        <f>IF(B63=0," ","6 st./doos*")</f>
        <v>#N/A</v>
      </c>
      <c r="E63" s="158"/>
      <c r="F63" s="158"/>
      <c r="G63" s="160" t="e">
        <f>IF(B63=0," ",CEILING(((D29*D36)+(D40*D45))/11700,1))</f>
        <v>#N/A</v>
      </c>
      <c r="H63" s="158" t="e">
        <f>IF(B63=0," ","ds")</f>
        <v>#N/A</v>
      </c>
      <c r="I63" s="163"/>
      <c r="J63" s="158"/>
      <c r="K63" s="158"/>
      <c r="L63" s="158"/>
    </row>
    <row r="64" spans="2:13" x14ac:dyDescent="0.25">
      <c r="B64" s="161" t="e">
        <f>VLOOKUP('lijst reno'!M5,'lijst reno'!C5:K13,9)</f>
        <v>#N/A</v>
      </c>
      <c r="C64" s="158"/>
      <c r="D64" s="159" t="e">
        <f>IF(B64=0," ","4 st./doos**")</f>
        <v>#N/A</v>
      </c>
      <c r="E64" s="158"/>
      <c r="F64" s="158"/>
      <c r="G64" s="204" t="e">
        <f>IF(B64=0," ","aantal/toepassing afhankelijk van project")</f>
        <v>#N/A</v>
      </c>
      <c r="H64" s="205"/>
      <c r="I64" s="205"/>
      <c r="J64" s="196"/>
      <c r="K64" s="158"/>
      <c r="L64" s="158"/>
    </row>
    <row r="65" spans="2:12" x14ac:dyDescent="0.25">
      <c r="B65" s="25" t="s">
        <v>190</v>
      </c>
    </row>
    <row r="66" spans="2:12" ht="9.75" customHeight="1" x14ac:dyDescent="0.25"/>
    <row r="67" spans="2:12" x14ac:dyDescent="0.25">
      <c r="B67" s="202" t="e">
        <f>IF(B63=0," ",'lijst reno'!A15)</f>
        <v>#N/A</v>
      </c>
      <c r="C67" s="203"/>
      <c r="D67" s="203"/>
      <c r="E67" s="203"/>
      <c r="F67" s="203"/>
      <c r="G67" s="203"/>
      <c r="H67" s="203"/>
      <c r="I67" s="203"/>
      <c r="J67" s="203"/>
      <c r="K67" s="203"/>
      <c r="L67" s="203"/>
    </row>
    <row r="68" spans="2:12" x14ac:dyDescent="0.25">
      <c r="B68" s="203"/>
      <c r="C68" s="203"/>
      <c r="D68" s="203"/>
      <c r="E68" s="203"/>
      <c r="F68" s="203"/>
      <c r="G68" s="203"/>
      <c r="H68" s="203"/>
      <c r="I68" s="203"/>
      <c r="J68" s="203"/>
      <c r="K68" s="203"/>
      <c r="L68" s="203"/>
    </row>
    <row r="69" spans="2:12" x14ac:dyDescent="0.25">
      <c r="B69" s="203"/>
      <c r="C69" s="203"/>
      <c r="D69" s="203"/>
      <c r="E69" s="203"/>
      <c r="F69" s="203"/>
      <c r="G69" s="203"/>
      <c r="H69" s="203"/>
      <c r="I69" s="203"/>
      <c r="J69" s="203"/>
      <c r="K69" s="203"/>
      <c r="L69" s="203"/>
    </row>
    <row r="70" spans="2:12" x14ac:dyDescent="0.25">
      <c r="B70" s="203"/>
      <c r="C70" s="203"/>
      <c r="D70" s="203"/>
      <c r="E70" s="203"/>
      <c r="F70" s="203"/>
      <c r="G70" s="203"/>
      <c r="H70" s="203"/>
      <c r="I70" s="203"/>
      <c r="J70" s="203"/>
      <c r="K70" s="203"/>
      <c r="L70" s="203"/>
    </row>
    <row r="71" spans="2:12" x14ac:dyDescent="0.25">
      <c r="B71" s="203"/>
      <c r="C71" s="203"/>
      <c r="D71" s="203"/>
      <c r="E71" s="203"/>
      <c r="F71" s="203"/>
      <c r="G71" s="203"/>
      <c r="H71" s="203"/>
      <c r="I71" s="203"/>
      <c r="J71" s="203"/>
      <c r="K71" s="203"/>
      <c r="L71" s="203"/>
    </row>
    <row r="72" spans="2:12" x14ac:dyDescent="0.25">
      <c r="B72" s="196"/>
      <c r="C72" s="196"/>
      <c r="D72" s="196"/>
      <c r="E72" s="196"/>
      <c r="F72" s="196"/>
      <c r="G72" s="196"/>
      <c r="H72" s="196"/>
      <c r="I72" s="196"/>
      <c r="J72" s="196"/>
      <c r="K72" s="196"/>
      <c r="L72" s="196"/>
    </row>
  </sheetData>
  <sheetProtection algorithmName="SHA-512" hashValue="nr8uNaaS1lvvUDeoQwEStbjy3liNoBnrSz/dGD4IlUmoG078CNGcVLNa9ZW91Wcu5cWCqFKBhHBqRikX8xMzAw==" saltValue="pF5ewabaSDJza+hhZbafSA==" spinCount="100000" sheet="1" objects="1" scenarios="1"/>
  <mergeCells count="6">
    <mergeCell ref="D13:J13"/>
    <mergeCell ref="B15:L15"/>
    <mergeCell ref="B47:L47"/>
    <mergeCell ref="F49:G49"/>
    <mergeCell ref="B67:L72"/>
    <mergeCell ref="G64:J64"/>
  </mergeCells>
  <conditionalFormatting sqref="C58:C60">
    <cfRule type="cellIs" dxfId="24" priority="8" operator="equal">
      <formula>0</formula>
    </cfRule>
  </conditionalFormatting>
  <conditionalFormatting sqref="F50">
    <cfRule type="cellIs" dxfId="23" priority="7" operator="equal">
      <formula>0</formula>
    </cfRule>
  </conditionalFormatting>
  <conditionalFormatting sqref="F53">
    <cfRule type="cellIs" dxfId="22" priority="6" operator="equal">
      <formula>0</formula>
    </cfRule>
  </conditionalFormatting>
  <conditionalFormatting sqref="I50">
    <cfRule type="cellIs" dxfId="21" priority="3" operator="equal">
      <formula>0</formula>
    </cfRule>
  </conditionalFormatting>
  <conditionalFormatting sqref="B63:B64">
    <cfRule type="cellIs" dxfId="20" priority="1" operator="equal">
      <formula>0</formula>
    </cfRule>
  </conditionalFormatting>
  <dataValidations count="1">
    <dataValidation type="whole" allowBlank="1" showInputMessage="1" showErrorMessage="1" errorTitle="Lengte" error="Lengte mag min. 2.000 mm en max. 7.500 mm zijn" sqref="J29 J40" xr:uid="{F9927A51-BD2D-4610-93A8-EDC5202742EF}">
      <formula1>2000</formula1>
      <formula2>7500</formula2>
    </dataValidation>
  </dataValidations>
  <pageMargins left="0.51181102362204722" right="0" top="0.74803149606299213" bottom="0.74803149606299213" header="0.31496062992125984" footer="0.31496062992125984"/>
  <pageSetup paperSize="9" scale="7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8391CFE-4BDE-4707-A19E-DCE4F66D62BA}">
          <x14:formula1>
            <xm:f>' lijst slimfix'!$A$124:$A$126</xm:f>
          </x14:formula1>
          <xm:sqref>D32:D33 D42:D43</xm:sqref>
        </x14:dataValidation>
        <x14:dataValidation type="list" allowBlank="1" showInputMessage="1" showErrorMessage="1" xr:uid="{E03CDFC6-CE1C-4096-99B8-59A04681929D}">
          <x14:formula1>
            <xm:f>'lijst reno'!$B$5:$B$13</xm:f>
          </x14:formula1>
          <xm:sqref>J11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2D77-71D5-486A-8C73-65071383B81E}">
  <dimension ref="B2:O96"/>
  <sheetViews>
    <sheetView showGridLines="0" zoomScaleNormal="100" workbookViewId="0">
      <selection activeCell="Q15" sqref="Q15"/>
    </sheetView>
  </sheetViews>
  <sheetFormatPr defaultRowHeight="15" x14ac:dyDescent="0.25"/>
  <cols>
    <col min="1" max="1" width="2.85546875" style="17" customWidth="1"/>
    <col min="2" max="2" width="17.28515625" style="17" bestFit="1" customWidth="1"/>
    <col min="3" max="3" width="22" style="17" customWidth="1"/>
    <col min="4" max="4" width="21.28515625" style="17" customWidth="1"/>
    <col min="5" max="5" width="2.85546875" style="17" customWidth="1"/>
    <col min="6" max="6" width="7.7109375" style="17" customWidth="1"/>
    <col min="7" max="7" width="9.5703125" style="17" bestFit="1" customWidth="1"/>
    <col min="8" max="8" width="15" style="17" customWidth="1"/>
    <col min="9" max="9" width="6" style="17" customWidth="1"/>
    <col min="10" max="10" width="13.85546875" style="17" customWidth="1"/>
    <col min="11" max="11" width="5.140625" style="17" customWidth="1"/>
    <col min="12" max="12" width="11" style="17" customWidth="1"/>
    <col min="13" max="13" width="3.42578125" style="17" customWidth="1"/>
    <col min="14" max="16384" width="9.140625" style="17"/>
  </cols>
  <sheetData>
    <row r="2" spans="2:12" ht="21" x14ac:dyDescent="0.25">
      <c r="B2" s="106" t="s">
        <v>273</v>
      </c>
      <c r="C2" s="11"/>
      <c r="D2" s="11"/>
      <c r="E2" s="11"/>
      <c r="F2" s="11"/>
      <c r="G2" s="11"/>
      <c r="H2" s="11"/>
      <c r="I2" s="11"/>
      <c r="J2" s="11"/>
      <c r="K2" s="11"/>
      <c r="L2" s="11"/>
    </row>
    <row r="3" spans="2:12" ht="7.5" customHeight="1" x14ac:dyDescent="0.25">
      <c r="B3" s="11"/>
      <c r="C3" s="11"/>
      <c r="D3" s="11"/>
      <c r="E3" s="11"/>
      <c r="F3" s="11"/>
      <c r="G3" s="11"/>
      <c r="H3" s="11"/>
      <c r="I3" s="11"/>
      <c r="J3" s="11"/>
      <c r="K3" s="11"/>
      <c r="L3" s="11"/>
    </row>
    <row r="4" spans="2:12" x14ac:dyDescent="0.25">
      <c r="B4" s="11" t="s">
        <v>173</v>
      </c>
      <c r="C4" s="11"/>
      <c r="D4" s="11"/>
      <c r="E4" s="11"/>
      <c r="F4" s="11"/>
      <c r="G4" s="11"/>
      <c r="H4" s="11"/>
      <c r="I4" s="11"/>
      <c r="J4" s="11"/>
      <c r="K4" s="11"/>
      <c r="L4" s="11"/>
    </row>
    <row r="5" spans="2:12" ht="17.25" x14ac:dyDescent="0.25">
      <c r="B5" s="11" t="s">
        <v>270</v>
      </c>
      <c r="C5" s="11"/>
      <c r="D5" s="11"/>
      <c r="E5" s="11"/>
      <c r="F5" s="11"/>
      <c r="G5" s="11"/>
      <c r="H5" s="11"/>
      <c r="I5" s="11"/>
      <c r="J5" s="11"/>
      <c r="K5" s="11"/>
      <c r="L5" s="11"/>
    </row>
    <row r="6" spans="2:12" x14ac:dyDescent="0.25">
      <c r="B6" s="11" t="s">
        <v>175</v>
      </c>
      <c r="C6" s="11"/>
      <c r="D6" s="11"/>
      <c r="E6" s="11"/>
      <c r="F6" s="11"/>
      <c r="G6" s="11"/>
      <c r="H6" s="11"/>
      <c r="I6" s="11"/>
      <c r="J6" s="11"/>
      <c r="K6" s="11"/>
      <c r="L6" s="11"/>
    </row>
    <row r="7" spans="2:12" x14ac:dyDescent="0.25">
      <c r="B7" s="11" t="s">
        <v>176</v>
      </c>
      <c r="C7" s="11"/>
      <c r="D7" s="11"/>
      <c r="E7" s="11"/>
      <c r="F7" s="11"/>
      <c r="G7" s="11"/>
      <c r="H7" s="11"/>
      <c r="I7" s="11"/>
      <c r="J7" s="11"/>
      <c r="K7" s="11"/>
      <c r="L7" s="11"/>
    </row>
    <row r="8" spans="2:12" x14ac:dyDescent="0.25">
      <c r="B8" s="11"/>
      <c r="C8" s="11"/>
      <c r="D8" s="11"/>
      <c r="E8" s="11"/>
      <c r="F8" s="11"/>
      <c r="G8" s="11"/>
      <c r="H8" s="11"/>
      <c r="I8" s="11"/>
      <c r="J8" s="11"/>
      <c r="K8" s="11"/>
      <c r="L8" s="11"/>
    </row>
    <row r="9" spans="2:12" x14ac:dyDescent="0.25">
      <c r="B9" s="133" t="s">
        <v>1</v>
      </c>
      <c r="C9" s="133"/>
      <c r="D9" s="133"/>
      <c r="E9" s="133"/>
      <c r="F9" s="133"/>
      <c r="G9" s="133"/>
      <c r="H9" s="133"/>
      <c r="I9" s="133"/>
      <c r="J9" s="133"/>
      <c r="K9" s="133"/>
      <c r="L9" s="133"/>
    </row>
    <row r="10" spans="2:12" x14ac:dyDescent="0.25">
      <c r="B10" s="20"/>
      <c r="C10" s="20"/>
      <c r="D10" s="20"/>
      <c r="E10" s="20"/>
      <c r="F10" s="20"/>
      <c r="G10" s="20"/>
      <c r="H10" s="20"/>
      <c r="I10" s="20"/>
      <c r="J10" s="130"/>
      <c r="K10" s="20"/>
      <c r="L10" s="20"/>
    </row>
    <row r="11" spans="2:12" ht="18.75" x14ac:dyDescent="0.35">
      <c r="B11" s="21" t="s">
        <v>41</v>
      </c>
      <c r="C11" s="20"/>
      <c r="D11" s="148" t="s">
        <v>252</v>
      </c>
      <c r="E11" s="20"/>
      <c r="F11" s="20"/>
      <c r="G11" s="20"/>
      <c r="H11" s="98" t="s">
        <v>42</v>
      </c>
      <c r="I11" s="20"/>
      <c r="J11" s="126"/>
      <c r="K11" s="20"/>
      <c r="L11" s="20"/>
    </row>
    <row r="12" spans="2:12" x14ac:dyDescent="0.25">
      <c r="B12" s="20"/>
      <c r="C12" s="20"/>
      <c r="D12" s="188" t="s">
        <v>308</v>
      </c>
      <c r="E12" s="20"/>
      <c r="F12" s="20"/>
      <c r="G12" s="20"/>
      <c r="H12" s="20"/>
      <c r="I12" s="20"/>
      <c r="J12" s="20"/>
      <c r="K12" s="20"/>
      <c r="L12" s="20"/>
    </row>
    <row r="13" spans="2:12" ht="9.75" customHeight="1" x14ac:dyDescent="0.25">
      <c r="B13" s="20"/>
      <c r="C13" s="20"/>
      <c r="D13" s="20"/>
      <c r="E13" s="20"/>
      <c r="F13" s="20"/>
      <c r="G13" s="20"/>
      <c r="H13" s="20"/>
      <c r="I13" s="20"/>
      <c r="J13" s="20"/>
      <c r="K13" s="20"/>
      <c r="L13" s="20"/>
    </row>
    <row r="14" spans="2:12" ht="18" customHeight="1" x14ac:dyDescent="0.25">
      <c r="B14" s="21" t="s">
        <v>200</v>
      </c>
      <c r="C14" s="20"/>
      <c r="D14" s="192"/>
      <c r="E14" s="193"/>
      <c r="F14" s="193"/>
      <c r="G14" s="193"/>
      <c r="H14" s="193"/>
      <c r="I14" s="193"/>
      <c r="J14" s="194"/>
      <c r="K14" s="20"/>
      <c r="L14" s="20"/>
    </row>
    <row r="15" spans="2:12" x14ac:dyDescent="0.25">
      <c r="B15" s="22"/>
      <c r="C15" s="20"/>
      <c r="D15" s="20"/>
      <c r="E15" s="20"/>
      <c r="F15" s="20"/>
      <c r="G15" s="20"/>
      <c r="H15" s="20"/>
      <c r="I15" s="20"/>
      <c r="J15" s="20"/>
      <c r="K15" s="20"/>
      <c r="L15" s="20"/>
    </row>
    <row r="16" spans="2:12" x14ac:dyDescent="0.25">
      <c r="B16" s="190" t="s">
        <v>44</v>
      </c>
      <c r="C16" s="190"/>
      <c r="D16" s="190"/>
      <c r="E16" s="190"/>
      <c r="F16" s="190"/>
      <c r="G16" s="190"/>
      <c r="H16" s="190"/>
      <c r="I16" s="190"/>
      <c r="J16" s="190"/>
      <c r="K16" s="190"/>
      <c r="L16" s="190"/>
    </row>
    <row r="17" spans="2:12" x14ac:dyDescent="0.25">
      <c r="B17" s="19"/>
      <c r="C17" s="19"/>
      <c r="D17" s="19"/>
      <c r="E17" s="19"/>
      <c r="F17" s="19"/>
      <c r="G17" s="19"/>
      <c r="H17" s="19"/>
      <c r="I17" s="19"/>
      <c r="J17" s="19"/>
      <c r="K17" s="19"/>
      <c r="L17" s="19"/>
    </row>
    <row r="18" spans="2:12" x14ac:dyDescent="0.25">
      <c r="B18" s="19"/>
      <c r="C18" s="19"/>
      <c r="D18" s="19"/>
      <c r="E18" s="19"/>
      <c r="F18" s="19"/>
      <c r="G18" s="19"/>
      <c r="H18" s="19"/>
      <c r="I18" s="19"/>
      <c r="J18" s="19"/>
      <c r="K18" s="19"/>
      <c r="L18" s="19"/>
    </row>
    <row r="19" spans="2:12" x14ac:dyDescent="0.25">
      <c r="B19" s="19"/>
      <c r="C19" s="19"/>
      <c r="D19" s="19"/>
      <c r="E19" s="19"/>
      <c r="F19" s="19"/>
      <c r="G19" s="19"/>
      <c r="H19" s="19"/>
      <c r="I19" s="19"/>
      <c r="J19" s="19"/>
      <c r="K19" s="19"/>
      <c r="L19" s="19"/>
    </row>
    <row r="20" spans="2:12" x14ac:dyDescent="0.25">
      <c r="B20" s="19"/>
      <c r="C20" s="19"/>
      <c r="D20" s="19"/>
      <c r="E20" s="19"/>
      <c r="F20" s="19"/>
      <c r="G20" s="19"/>
      <c r="H20" s="19"/>
      <c r="I20" s="19"/>
      <c r="J20" s="19" t="s">
        <v>188</v>
      </c>
      <c r="K20" s="19" t="s">
        <v>187</v>
      </c>
      <c r="L20" s="19"/>
    </row>
    <row r="21" spans="2:12" x14ac:dyDescent="0.25">
      <c r="B21" s="19"/>
      <c r="C21" s="19"/>
      <c r="D21" s="19"/>
      <c r="E21" s="19"/>
      <c r="F21" s="19"/>
      <c r="G21" s="19"/>
      <c r="H21" s="19"/>
      <c r="I21" s="19"/>
      <c r="J21" s="19"/>
      <c r="K21" s="19"/>
      <c r="L21" s="19"/>
    </row>
    <row r="22" spans="2:12" x14ac:dyDescent="0.25">
      <c r="B22" s="19"/>
      <c r="C22" s="19"/>
      <c r="D22" s="19"/>
      <c r="E22" s="19"/>
      <c r="F22" s="19"/>
      <c r="G22" s="19"/>
      <c r="H22" s="19"/>
      <c r="I22" s="19"/>
      <c r="J22" s="19"/>
      <c r="K22" s="19"/>
      <c r="L22" s="19"/>
    </row>
    <row r="23" spans="2:12" x14ac:dyDescent="0.25">
      <c r="B23" s="19"/>
      <c r="C23" s="19"/>
      <c r="D23" s="19"/>
      <c r="E23" s="19"/>
      <c r="F23" s="19"/>
      <c r="G23" s="19"/>
      <c r="H23" s="19"/>
      <c r="I23" s="19"/>
      <c r="J23" s="19"/>
      <c r="K23" s="19"/>
      <c r="L23" s="19"/>
    </row>
    <row r="24" spans="2:12" x14ac:dyDescent="0.25">
      <c r="B24" s="19"/>
      <c r="C24" s="19"/>
      <c r="D24" s="19"/>
      <c r="E24" s="19"/>
      <c r="F24" s="19"/>
      <c r="G24" s="19"/>
      <c r="H24" s="19"/>
      <c r="I24" s="19"/>
      <c r="J24" s="19"/>
      <c r="K24" s="19"/>
      <c r="L24" s="19"/>
    </row>
    <row r="25" spans="2:12" x14ac:dyDescent="0.25">
      <c r="B25" s="19"/>
      <c r="C25" s="19"/>
      <c r="D25" s="19"/>
      <c r="E25" s="19"/>
      <c r="F25" s="19"/>
      <c r="G25" s="19"/>
      <c r="H25" s="19"/>
      <c r="I25" s="19"/>
      <c r="J25" s="19"/>
      <c r="K25" s="19"/>
      <c r="L25" s="19"/>
    </row>
    <row r="26" spans="2:12" x14ac:dyDescent="0.25">
      <c r="B26" s="19"/>
      <c r="C26" s="19"/>
      <c r="D26" s="19"/>
      <c r="E26" s="19"/>
      <c r="F26" s="19"/>
      <c r="G26" s="19"/>
      <c r="H26" s="19"/>
      <c r="I26" s="19"/>
      <c r="J26" s="19"/>
      <c r="K26" s="19"/>
      <c r="L26" s="19"/>
    </row>
    <row r="27" spans="2:12" ht="12" customHeight="1" x14ac:dyDescent="0.25">
      <c r="B27" s="19"/>
      <c r="C27" s="19"/>
      <c r="D27" s="19"/>
      <c r="E27" s="19"/>
      <c r="F27" s="19"/>
      <c r="G27" s="19"/>
      <c r="H27" s="19"/>
      <c r="I27" s="19"/>
      <c r="J27" s="19"/>
      <c r="K27" s="19"/>
      <c r="L27" s="19"/>
    </row>
    <row r="28" spans="2:12" x14ac:dyDescent="0.25">
      <c r="B28" s="131" t="s">
        <v>205</v>
      </c>
      <c r="C28" s="132"/>
      <c r="D28" s="132"/>
      <c r="E28" s="132"/>
      <c r="F28" s="132"/>
      <c r="G28" s="132"/>
      <c r="H28" s="132"/>
      <c r="I28" s="132"/>
      <c r="J28" s="132"/>
      <c r="K28" s="132"/>
      <c r="L28" s="132"/>
    </row>
    <row r="29" spans="2:12" x14ac:dyDescent="0.25">
      <c r="B29" s="20"/>
      <c r="C29" s="19"/>
      <c r="D29" s="19"/>
      <c r="E29" s="19"/>
      <c r="F29" s="19"/>
      <c r="G29" s="19"/>
      <c r="H29" s="19"/>
      <c r="I29" s="19"/>
      <c r="J29" s="130"/>
      <c r="K29" s="19"/>
      <c r="L29" s="19"/>
    </row>
    <row r="30" spans="2:12" x14ac:dyDescent="0.25">
      <c r="B30" s="21" t="s">
        <v>196</v>
      </c>
      <c r="C30" s="19"/>
      <c r="D30" s="144"/>
      <c r="E30" s="19"/>
      <c r="F30" s="19"/>
      <c r="G30" s="21" t="s">
        <v>197</v>
      </c>
      <c r="H30" s="11"/>
      <c r="I30" s="19"/>
      <c r="J30" s="144"/>
      <c r="K30" s="19"/>
      <c r="L30" s="19"/>
    </row>
    <row r="31" spans="2:12" x14ac:dyDescent="0.25">
      <c r="B31" s="21"/>
      <c r="C31" s="20"/>
      <c r="D31" s="20"/>
      <c r="E31" s="20"/>
      <c r="F31" s="20"/>
      <c r="G31" s="20"/>
      <c r="H31" s="20"/>
      <c r="I31" s="20"/>
      <c r="J31" s="20"/>
      <c r="K31" s="20"/>
      <c r="L31" s="20"/>
    </row>
    <row r="32" spans="2:12" x14ac:dyDescent="0.25">
      <c r="B32" s="21"/>
      <c r="C32" s="20"/>
      <c r="D32" s="20"/>
      <c r="E32" s="20"/>
      <c r="F32" s="20"/>
      <c r="G32" s="20"/>
      <c r="H32" s="20"/>
      <c r="I32" s="20"/>
      <c r="J32" s="20"/>
      <c r="K32" s="20"/>
      <c r="L32" s="20"/>
    </row>
    <row r="33" spans="2:12" x14ac:dyDescent="0.25">
      <c r="B33" s="21" t="s">
        <v>204</v>
      </c>
      <c r="C33" s="20"/>
      <c r="D33" s="127"/>
      <c r="E33" s="20"/>
      <c r="F33" s="20"/>
      <c r="G33" s="20"/>
      <c r="H33" s="20"/>
      <c r="I33" s="20"/>
      <c r="J33" s="20"/>
      <c r="K33" s="20"/>
      <c r="L33" s="20"/>
    </row>
    <row r="34" spans="2:12" x14ac:dyDescent="0.25">
      <c r="B34" s="22"/>
      <c r="C34" s="20"/>
      <c r="D34" s="20"/>
      <c r="E34" s="20"/>
      <c r="F34" s="20"/>
      <c r="G34" s="20"/>
      <c r="H34" s="20"/>
      <c r="I34" s="20"/>
      <c r="J34" s="20"/>
      <c r="K34" s="20"/>
      <c r="L34" s="20"/>
    </row>
    <row r="35" spans="2:12" x14ac:dyDescent="0.25">
      <c r="B35" s="22"/>
      <c r="C35" s="20"/>
      <c r="D35" s="20"/>
      <c r="E35" s="20"/>
      <c r="F35" s="20"/>
      <c r="G35" s="20"/>
      <c r="H35" s="20"/>
      <c r="I35" s="20"/>
      <c r="J35" s="20"/>
      <c r="K35" s="20"/>
      <c r="L35" s="20"/>
    </row>
    <row r="36" spans="2:12" x14ac:dyDescent="0.25">
      <c r="B36" s="22"/>
      <c r="C36" s="20"/>
      <c r="D36" s="20"/>
      <c r="E36" s="20"/>
      <c r="F36" s="20"/>
      <c r="G36" s="20"/>
      <c r="H36" s="20"/>
      <c r="I36" s="20"/>
      <c r="J36" s="20"/>
      <c r="K36" s="20"/>
      <c r="L36" s="20"/>
    </row>
    <row r="37" spans="2:12" x14ac:dyDescent="0.25">
      <c r="B37" s="22"/>
      <c r="C37" s="20"/>
      <c r="D37" s="20"/>
      <c r="E37" s="20"/>
      <c r="F37" s="20"/>
      <c r="G37" s="20"/>
      <c r="H37" s="20"/>
      <c r="I37" s="20"/>
      <c r="J37" s="20"/>
      <c r="K37" s="20"/>
      <c r="L37" s="20"/>
    </row>
    <row r="38" spans="2:12" x14ac:dyDescent="0.25">
      <c r="B38" s="21" t="s">
        <v>253</v>
      </c>
      <c r="C38" s="20"/>
      <c r="D38" s="127" t="s">
        <v>227</v>
      </c>
      <c r="E38" s="20"/>
      <c r="F38" s="20"/>
      <c r="G38" s="11"/>
      <c r="H38" s="11"/>
      <c r="I38" s="11"/>
      <c r="J38" s="20"/>
      <c r="K38" s="20"/>
      <c r="L38" s="20"/>
    </row>
    <row r="39" spans="2:12" x14ac:dyDescent="0.25">
      <c r="B39" s="22"/>
      <c r="C39" s="20"/>
      <c r="D39" s="20"/>
      <c r="E39" s="20"/>
      <c r="F39" s="20"/>
      <c r="G39" s="21" t="s">
        <v>172</v>
      </c>
      <c r="H39" s="20"/>
      <c r="I39" s="11"/>
      <c r="J39" s="130" t="s">
        <v>186</v>
      </c>
      <c r="K39" s="20"/>
      <c r="L39" s="20"/>
    </row>
    <row r="40" spans="2:12" x14ac:dyDescent="0.25">
      <c r="B40" s="21" t="s">
        <v>254</v>
      </c>
      <c r="C40" s="20"/>
      <c r="D40" s="127" t="s">
        <v>227</v>
      </c>
      <c r="E40" s="20"/>
      <c r="F40" s="20"/>
      <c r="G40" s="21" t="s">
        <v>118</v>
      </c>
      <c r="H40" s="20"/>
      <c r="I40" s="11"/>
      <c r="J40" s="127">
        <v>1</v>
      </c>
      <c r="K40" s="20"/>
      <c r="L40" s="20"/>
    </row>
    <row r="41" spans="2:12" x14ac:dyDescent="0.25">
      <c r="B41" s="21"/>
      <c r="C41" s="20"/>
      <c r="D41" s="149"/>
      <c r="E41" s="20"/>
      <c r="F41" s="20"/>
      <c r="G41" s="21"/>
      <c r="H41" s="20"/>
      <c r="I41" s="11"/>
      <c r="J41" s="149"/>
      <c r="K41" s="20"/>
      <c r="L41" s="20"/>
    </row>
    <row r="42" spans="2:12" x14ac:dyDescent="0.25">
      <c r="B42" s="21" t="s">
        <v>291</v>
      </c>
      <c r="C42" s="20"/>
      <c r="D42" s="127" t="s">
        <v>227</v>
      </c>
      <c r="E42" s="20"/>
      <c r="F42" s="20"/>
      <c r="G42" s="21"/>
      <c r="H42" s="20"/>
      <c r="I42" s="11"/>
      <c r="J42" s="149"/>
      <c r="K42" s="20"/>
      <c r="L42" s="20"/>
    </row>
    <row r="43" spans="2:12" x14ac:dyDescent="0.25">
      <c r="B43" s="21"/>
      <c r="C43" s="20"/>
      <c r="D43" s="149"/>
      <c r="E43" s="20"/>
      <c r="F43" s="20"/>
      <c r="G43" s="21"/>
      <c r="H43" s="20"/>
      <c r="I43" s="11"/>
      <c r="J43" s="149"/>
      <c r="K43" s="20"/>
      <c r="L43" s="20"/>
    </row>
    <row r="44" spans="2:12" x14ac:dyDescent="0.25">
      <c r="B44" s="22"/>
      <c r="C44" s="20"/>
      <c r="D44" s="20"/>
      <c r="E44" s="20"/>
      <c r="F44" s="20"/>
      <c r="G44" s="20"/>
      <c r="H44" s="20"/>
      <c r="I44" s="20"/>
      <c r="J44" s="20"/>
      <c r="K44" s="20"/>
      <c r="L44" s="20"/>
    </row>
    <row r="45" spans="2:12" x14ac:dyDescent="0.25">
      <c r="B45" s="131" t="s">
        <v>206</v>
      </c>
      <c r="C45" s="132"/>
      <c r="D45" s="132"/>
      <c r="E45" s="132"/>
      <c r="F45" s="132"/>
      <c r="G45" s="132"/>
      <c r="H45" s="132"/>
      <c r="I45" s="132"/>
      <c r="J45" s="132"/>
      <c r="K45" s="132"/>
      <c r="L45" s="132"/>
    </row>
    <row r="46" spans="2:12" x14ac:dyDescent="0.25">
      <c r="B46" s="20"/>
      <c r="C46" s="19"/>
      <c r="D46" s="19"/>
      <c r="E46" s="19"/>
      <c r="F46" s="19"/>
      <c r="G46" s="19"/>
      <c r="H46" s="19"/>
      <c r="I46" s="19"/>
      <c r="J46" s="130"/>
      <c r="K46" s="19"/>
      <c r="L46" s="19"/>
    </row>
    <row r="47" spans="2:12" x14ac:dyDescent="0.25">
      <c r="B47" s="21" t="s">
        <v>196</v>
      </c>
      <c r="C47" s="19"/>
      <c r="D47" s="144"/>
      <c r="E47" s="19"/>
      <c r="F47" s="19"/>
      <c r="G47" s="21" t="s">
        <v>197</v>
      </c>
      <c r="H47" s="19"/>
      <c r="I47" s="19"/>
      <c r="J47" s="144"/>
      <c r="K47" s="19"/>
      <c r="L47" s="19"/>
    </row>
    <row r="48" spans="2:12" x14ac:dyDescent="0.25">
      <c r="B48" s="21"/>
      <c r="C48" s="20"/>
      <c r="D48" s="20"/>
      <c r="E48" s="20"/>
      <c r="F48" s="20"/>
      <c r="G48" s="20"/>
      <c r="H48" s="20"/>
      <c r="I48" s="20"/>
      <c r="J48" s="20"/>
      <c r="K48" s="20"/>
      <c r="L48" s="20"/>
    </row>
    <row r="49" spans="2:15" x14ac:dyDescent="0.25">
      <c r="B49" s="21" t="s">
        <v>204</v>
      </c>
      <c r="C49" s="20"/>
      <c r="D49" s="127"/>
      <c r="E49" s="20"/>
      <c r="F49" s="20"/>
      <c r="G49" s="20"/>
      <c r="H49" s="20"/>
      <c r="I49" s="20"/>
      <c r="J49" s="20"/>
      <c r="K49" s="20"/>
      <c r="L49" s="20"/>
    </row>
    <row r="50" spans="2:15" x14ac:dyDescent="0.25">
      <c r="B50" s="21"/>
      <c r="C50" s="20"/>
      <c r="D50" s="149"/>
      <c r="E50" s="20"/>
      <c r="F50" s="20"/>
      <c r="G50" s="20"/>
      <c r="H50" s="20"/>
      <c r="I50" s="20"/>
      <c r="J50" s="20"/>
      <c r="K50" s="20"/>
      <c r="L50" s="20"/>
    </row>
    <row r="51" spans="2:15" x14ac:dyDescent="0.25">
      <c r="B51" s="21" t="s">
        <v>253</v>
      </c>
      <c r="C51" s="20"/>
      <c r="D51" s="127" t="s">
        <v>227</v>
      </c>
      <c r="E51" s="20"/>
      <c r="F51" s="20"/>
      <c r="G51" s="20"/>
      <c r="H51" s="20"/>
      <c r="I51" s="20"/>
      <c r="J51" s="20"/>
      <c r="K51" s="20"/>
      <c r="L51" s="20"/>
    </row>
    <row r="52" spans="2:15" x14ac:dyDescent="0.25">
      <c r="B52" s="22"/>
      <c r="C52" s="20"/>
      <c r="D52" s="20"/>
      <c r="E52" s="20"/>
      <c r="F52" s="20"/>
      <c r="G52" s="21" t="s">
        <v>172</v>
      </c>
      <c r="H52" s="20"/>
      <c r="I52" s="20"/>
      <c r="J52" s="130" t="s">
        <v>198</v>
      </c>
      <c r="K52" s="20"/>
      <c r="L52" s="20"/>
    </row>
    <row r="53" spans="2:15" x14ac:dyDescent="0.25">
      <c r="B53" s="21" t="s">
        <v>254</v>
      </c>
      <c r="C53" s="20"/>
      <c r="D53" s="127" t="s">
        <v>227</v>
      </c>
      <c r="E53" s="20"/>
      <c r="F53" s="20"/>
      <c r="G53" s="21" t="s">
        <v>118</v>
      </c>
      <c r="H53" s="20"/>
      <c r="I53" s="11"/>
      <c r="J53" s="127">
        <v>1</v>
      </c>
      <c r="K53" s="20"/>
      <c r="L53" s="20"/>
    </row>
    <row r="54" spans="2:15" x14ac:dyDescent="0.25">
      <c r="B54" s="21"/>
      <c r="C54" s="20"/>
      <c r="D54" s="149"/>
      <c r="E54" s="20"/>
      <c r="F54" s="20"/>
      <c r="G54" s="21"/>
      <c r="H54" s="20"/>
      <c r="I54" s="11"/>
      <c r="J54" s="149"/>
      <c r="K54" s="20"/>
      <c r="L54" s="20"/>
    </row>
    <row r="55" spans="2:15" x14ac:dyDescent="0.25">
      <c r="B55" s="21" t="s">
        <v>291</v>
      </c>
      <c r="C55" s="20"/>
      <c r="D55" s="127" t="s">
        <v>227</v>
      </c>
      <c r="E55" s="20"/>
      <c r="F55" s="20"/>
      <c r="G55" s="21"/>
      <c r="H55" s="20"/>
      <c r="I55" s="11"/>
      <c r="J55" s="149"/>
      <c r="K55" s="20"/>
      <c r="L55" s="20"/>
    </row>
    <row r="56" spans="2:15" x14ac:dyDescent="0.25">
      <c r="B56" s="11"/>
      <c r="C56" s="11"/>
      <c r="D56" s="23"/>
      <c r="E56" s="11"/>
      <c r="F56" s="11"/>
      <c r="G56" s="11"/>
      <c r="H56" s="11"/>
      <c r="I56" s="11"/>
      <c r="J56" s="11"/>
      <c r="K56" s="11"/>
      <c r="L56" s="11"/>
    </row>
    <row r="57" spans="2:15" x14ac:dyDescent="0.25">
      <c r="B57" s="191" t="s">
        <v>179</v>
      </c>
      <c r="C57" s="191"/>
      <c r="D57" s="191"/>
      <c r="E57" s="191"/>
      <c r="F57" s="191"/>
      <c r="G57" s="191"/>
      <c r="H57" s="191"/>
      <c r="I57" s="191"/>
      <c r="J57" s="191"/>
      <c r="K57" s="191"/>
      <c r="L57" s="191"/>
    </row>
    <row r="58" spans="2:15" ht="10.5" customHeight="1" x14ac:dyDescent="0.25">
      <c r="B58" s="111"/>
      <c r="C58" s="111"/>
      <c r="D58" s="111"/>
      <c r="E58" s="111"/>
      <c r="F58" s="111"/>
      <c r="G58" s="111"/>
      <c r="H58" s="111"/>
      <c r="I58" s="111"/>
      <c r="J58" s="111"/>
      <c r="K58" s="111"/>
      <c r="L58" s="111"/>
    </row>
    <row r="59" spans="2:15" x14ac:dyDescent="0.25">
      <c r="B59" s="112" t="s">
        <v>40</v>
      </c>
      <c r="C59" s="112"/>
      <c r="D59" s="117"/>
      <c r="E59" s="117"/>
      <c r="F59" s="200" t="s">
        <v>180</v>
      </c>
      <c r="G59" s="201"/>
      <c r="H59" s="112"/>
      <c r="I59" s="116" t="s">
        <v>177</v>
      </c>
      <c r="J59" s="111"/>
      <c r="K59" s="117"/>
      <c r="L59" s="117"/>
      <c r="O59" s="171"/>
    </row>
    <row r="60" spans="2:15" ht="17.25" x14ac:dyDescent="0.25">
      <c r="B60" s="145" t="s">
        <v>208</v>
      </c>
      <c r="C60" s="112"/>
      <c r="D60" s="117"/>
      <c r="E60" s="117"/>
      <c r="F60" s="118" t="str">
        <f>IF(D38="_kies","?? ",VLOOKUP(('lijst renotwin'!N5&amp;D38&amp;D40),'lijst renotwin'!B27:E191,4))</f>
        <v xml:space="preserve">?? </v>
      </c>
      <c r="G60" s="117" t="s">
        <v>292</v>
      </c>
      <c r="H60" s="115"/>
      <c r="I60" s="113">
        <v>3</v>
      </c>
      <c r="J60" s="115" t="s">
        <v>189</v>
      </c>
      <c r="K60" s="117"/>
      <c r="L60" s="117"/>
    </row>
    <row r="61" spans="2:15" ht="8.25" customHeight="1" x14ac:dyDescent="0.25">
      <c r="B61" s="145"/>
      <c r="C61" s="112"/>
      <c r="D61" s="117"/>
      <c r="E61" s="117"/>
      <c r="F61" s="118"/>
      <c r="G61" s="117"/>
      <c r="H61" s="115"/>
      <c r="I61" s="113"/>
      <c r="J61" s="115"/>
      <c r="K61" s="117"/>
      <c r="L61" s="117"/>
    </row>
    <row r="62" spans="2:15" x14ac:dyDescent="0.25">
      <c r="B62" s="185" t="str">
        <f>IF(D42="ja","T.b.v. gootoverstek:"," ")</f>
        <v xml:space="preserve"> </v>
      </c>
      <c r="C62" s="112"/>
      <c r="D62" s="117"/>
      <c r="E62" s="117"/>
      <c r="F62" s="118"/>
      <c r="G62" s="117"/>
      <c r="H62" s="115"/>
      <c r="I62" s="113"/>
      <c r="J62" s="115"/>
      <c r="K62" s="117"/>
      <c r="L62" s="117"/>
    </row>
    <row r="63" spans="2:15" x14ac:dyDescent="0.25">
      <c r="B63" s="145" t="str">
        <f>IF(D42="ja","67° bevestiging door de tengel t.p.v. de muurplaat "," ")</f>
        <v xml:space="preserve"> </v>
      </c>
      <c r="C63" s="112"/>
      <c r="D63" s="117"/>
      <c r="E63" s="117"/>
      <c r="F63" s="118" t="str">
        <f>IF(D42="ja",VLOOKUP('lijst renotwin'!N5,'lijst renotwin'!C5:L15,10)," ")</f>
        <v xml:space="preserve"> </v>
      </c>
      <c r="G63" s="117" t="str">
        <f>IF(D42="ja","RenoTwin schroef"," ")</f>
        <v xml:space="preserve"> </v>
      </c>
      <c r="H63" s="115"/>
      <c r="I63" s="113" t="str">
        <f>IF(D42="ja",3," ")</f>
        <v xml:space="preserve"> </v>
      </c>
      <c r="J63" s="115" t="str">
        <f>IF(D42="ja","per element"," ")</f>
        <v xml:space="preserve"> </v>
      </c>
      <c r="K63" s="117"/>
      <c r="L63" s="117"/>
    </row>
    <row r="64" spans="2:15" x14ac:dyDescent="0.25">
      <c r="B64" s="115"/>
      <c r="C64" s="111"/>
      <c r="D64" s="114"/>
      <c r="E64" s="115"/>
      <c r="F64" s="111"/>
      <c r="G64" s="186" t="str">
        <f>IF(D42="ja",VLOOKUP('lijst renotwin'!N5,'lijst renotwin'!C5:L15,9)," ")</f>
        <v xml:space="preserve"> </v>
      </c>
      <c r="H64" s="117" t="str">
        <f>IF(D42="ja","mm afstand tot horiz. schroef)"," ")</f>
        <v xml:space="preserve"> </v>
      </c>
      <c r="I64" s="115"/>
      <c r="J64" s="111"/>
      <c r="K64" s="111"/>
      <c r="L64" s="111"/>
    </row>
    <row r="65" spans="2:13" x14ac:dyDescent="0.25">
      <c r="B65" s="112" t="str">
        <f>IF($D$47=0," ","Dakvlak 2")</f>
        <v xml:space="preserve"> </v>
      </c>
      <c r="C65" s="111"/>
      <c r="D65" s="114"/>
      <c r="E65" s="115"/>
      <c r="F65" s="111"/>
      <c r="G65" s="111"/>
      <c r="H65" s="113"/>
      <c r="I65" s="115"/>
      <c r="J65" s="111"/>
      <c r="K65" s="111"/>
      <c r="L65" s="111"/>
    </row>
    <row r="66" spans="2:13" x14ac:dyDescent="0.25">
      <c r="B66" s="145" t="str">
        <f>IF($D$47=0," ","Door de tengel t.p.v. elke onderliggende gording")</f>
        <v xml:space="preserve"> </v>
      </c>
      <c r="C66" s="111"/>
      <c r="D66" s="117"/>
      <c r="E66" s="117"/>
      <c r="F66" s="174" t="str">
        <f>IF(D47=0," ",L66)</f>
        <v xml:space="preserve"> </v>
      </c>
      <c r="G66" s="117" t="str">
        <f>IF(D47=0," ","RenoTwin schroef")</f>
        <v xml:space="preserve"> </v>
      </c>
      <c r="H66" s="115"/>
      <c r="I66" s="113" t="str">
        <f>IF($D$47=0," ",3)</f>
        <v xml:space="preserve"> </v>
      </c>
      <c r="J66" s="115" t="str">
        <f>IF($D$47=0," ","per oplegging")</f>
        <v xml:space="preserve"> </v>
      </c>
      <c r="K66" s="111"/>
      <c r="L66" s="175" t="str">
        <f>IF(D51="_kies"," ",VLOOKUP(('lijst renotwin'!N5&amp;D51&amp;D53),'lijst renotwin'!B27:E356,4))</f>
        <v xml:space="preserve"> </v>
      </c>
    </row>
    <row r="67" spans="2:13" ht="9.75" customHeight="1" x14ac:dyDescent="0.25">
      <c r="B67" s="145"/>
      <c r="C67" s="111"/>
      <c r="D67" s="117"/>
      <c r="E67" s="117"/>
      <c r="F67" s="174"/>
      <c r="G67" s="117"/>
      <c r="H67" s="115"/>
      <c r="I67" s="113"/>
      <c r="J67" s="115"/>
      <c r="K67" s="111"/>
      <c r="L67" s="175"/>
    </row>
    <row r="68" spans="2:13" x14ac:dyDescent="0.25">
      <c r="B68" s="185" t="str">
        <f>IF(D55="ja","T.b.v. gootoverstek:"," ")</f>
        <v xml:space="preserve"> </v>
      </c>
      <c r="C68" s="112"/>
      <c r="D68" s="117"/>
      <c r="E68" s="117"/>
      <c r="F68" s="118"/>
      <c r="G68" s="117"/>
      <c r="H68" s="115"/>
      <c r="I68" s="113"/>
      <c r="J68" s="115"/>
      <c r="K68" s="117"/>
      <c r="L68" s="117"/>
    </row>
    <row r="69" spans="2:13" x14ac:dyDescent="0.25">
      <c r="B69" s="145" t="str">
        <f>IF(D55="ja","67° bevestiging in de muurplaat "," ")</f>
        <v xml:space="preserve"> </v>
      </c>
      <c r="C69" s="112"/>
      <c r="D69" s="117"/>
      <c r="E69" s="117"/>
      <c r="F69" s="118" t="str">
        <f>IF(D55="ja",VLOOKUP('lijst renotwin'!N5,'lijst renotwin'!C5:L15,10)," ")</f>
        <v xml:space="preserve"> </v>
      </c>
      <c r="G69" s="117" t="str">
        <f>IF(D55="ja","RenoTwin schroef"," ")</f>
        <v xml:space="preserve"> </v>
      </c>
      <c r="H69" s="115"/>
      <c r="I69" s="113" t="str">
        <f>IF(D55="ja",3," ")</f>
        <v xml:space="preserve"> </v>
      </c>
      <c r="J69" s="115" t="str">
        <f>IF(D55="ja","per element"," ")</f>
        <v xml:space="preserve"> </v>
      </c>
      <c r="K69" s="117"/>
      <c r="L69" s="117"/>
    </row>
    <row r="70" spans="2:13" x14ac:dyDescent="0.25">
      <c r="B70" s="145"/>
      <c r="C70" s="112"/>
      <c r="D70" s="117"/>
      <c r="E70" s="117"/>
      <c r="F70" s="118"/>
      <c r="G70" s="186" t="str">
        <f>IF(D55="ja",VLOOKUP('lijst renotwin'!N5,'lijst renotwin'!C5:L15,9)," ")</f>
        <v xml:space="preserve"> </v>
      </c>
      <c r="H70" s="117" t="str">
        <f>IF(D55="ja","mm afstand tot horiz. schroef)"," ")</f>
        <v xml:space="preserve"> </v>
      </c>
      <c r="I70" s="114"/>
      <c r="J70" s="117"/>
      <c r="K70" s="117"/>
      <c r="L70" s="117"/>
    </row>
    <row r="71" spans="2:13" ht="7.5" customHeight="1" x14ac:dyDescent="0.25">
      <c r="B71" s="145"/>
      <c r="C71" s="112"/>
      <c r="D71" s="117"/>
      <c r="E71" s="117"/>
      <c r="F71" s="118"/>
      <c r="G71" s="117"/>
      <c r="H71" s="115"/>
      <c r="I71" s="114"/>
      <c r="J71" s="117"/>
      <c r="K71" s="117"/>
      <c r="L71" s="117"/>
    </row>
    <row r="72" spans="2:13" x14ac:dyDescent="0.25">
      <c r="B72" s="134" t="s">
        <v>178</v>
      </c>
      <c r="C72" s="134"/>
      <c r="D72" s="134"/>
      <c r="E72" s="134"/>
      <c r="F72" s="134"/>
      <c r="G72" s="134"/>
      <c r="H72" s="134"/>
      <c r="I72" s="134"/>
      <c r="J72" s="134"/>
      <c r="K72" s="134"/>
      <c r="L72" s="134"/>
    </row>
    <row r="73" spans="2:13" ht="9" customHeight="1" x14ac:dyDescent="0.25">
      <c r="B73" s="100"/>
      <c r="C73" s="100"/>
      <c r="D73" s="100"/>
      <c r="E73" s="100"/>
      <c r="F73" s="100"/>
      <c r="G73" s="100"/>
      <c r="H73" s="100"/>
      <c r="I73" s="100"/>
      <c r="J73" s="100"/>
      <c r="K73" s="100"/>
      <c r="L73" s="100"/>
    </row>
    <row r="74" spans="2:13" x14ac:dyDescent="0.25">
      <c r="B74" s="101" t="s">
        <v>1</v>
      </c>
      <c r="C74" s="156"/>
      <c r="D74" s="135" t="s">
        <v>45</v>
      </c>
      <c r="E74" s="102"/>
      <c r="F74" s="104"/>
      <c r="G74" s="135" t="s">
        <v>122</v>
      </c>
      <c r="H74" s="101"/>
      <c r="I74" s="104"/>
      <c r="J74" s="104"/>
      <c r="K74" s="104"/>
      <c r="L74" s="104"/>
    </row>
    <row r="75" spans="2:13" x14ac:dyDescent="0.25">
      <c r="B75" s="173" t="s">
        <v>25</v>
      </c>
      <c r="C75" s="104" t="str">
        <f>F60</f>
        <v xml:space="preserve">?? </v>
      </c>
      <c r="D75" s="105" t="e">
        <f>VLOOKUP(C75,'lijst renotwin'!J27:M38,2)</f>
        <v>#N/A</v>
      </c>
      <c r="E75" s="104"/>
      <c r="F75" s="104"/>
      <c r="G75" s="107" t="e">
        <f>CEILING('lijst renotwin'!F5/VLOOKUP(C75,'lijst renotwin'!J27:M38,3),1)</f>
        <v>#N/A</v>
      </c>
      <c r="H75" s="104" t="str">
        <f>IF(C75=0," ","ds t.b.v. dakvlak 1")</f>
        <v>ds t.b.v. dakvlak 1</v>
      </c>
      <c r="I75" s="104"/>
      <c r="J75" s="104"/>
      <c r="K75" s="104"/>
      <c r="L75" s="104"/>
      <c r="M75" s="24"/>
    </row>
    <row r="76" spans="2:13" x14ac:dyDescent="0.25">
      <c r="B76" s="173" t="str">
        <f>IF(D47=0," ","RenoTwin schroef")</f>
        <v xml:space="preserve"> </v>
      </c>
      <c r="C76" s="104" t="str">
        <f>IF(B76= " "," ",$L$66)</f>
        <v xml:space="preserve"> </v>
      </c>
      <c r="D76" s="105" t="str">
        <f>IF(B76=" "," ",VLOOKUP(C76,'lijst renotwin'!J27:M38,2))</f>
        <v xml:space="preserve"> </v>
      </c>
      <c r="E76" s="104"/>
      <c r="F76" s="104"/>
      <c r="G76" s="107" t="str">
        <f>IF(B76=" "," ",CEILING('lijst renotwin'!G5/VLOOKUP(C76,'lijst renotwin'!J27:M38,3),1))</f>
        <v xml:space="preserve"> </v>
      </c>
      <c r="H76" s="104" t="str">
        <f>IF(C76=" "," ","ds t.b.v. dakvlak 2")</f>
        <v xml:space="preserve"> </v>
      </c>
      <c r="I76" s="104"/>
      <c r="J76" s="104"/>
      <c r="K76" s="104"/>
      <c r="L76" s="104"/>
      <c r="M76" s="24"/>
    </row>
    <row r="77" spans="2:13" x14ac:dyDescent="0.25">
      <c r="B77" s="173"/>
      <c r="C77" s="104"/>
      <c r="D77" s="105"/>
      <c r="E77" s="104"/>
      <c r="F77" s="104"/>
      <c r="G77" s="107"/>
      <c r="H77" s="104"/>
      <c r="I77" s="104"/>
      <c r="J77" s="104"/>
      <c r="K77" s="104"/>
      <c r="L77" s="104"/>
      <c r="M77" s="24"/>
    </row>
    <row r="78" spans="2:13" x14ac:dyDescent="0.25">
      <c r="B78" s="187" t="str">
        <f>IF(OR(D42="ja",D55="ja"),"T.b.v. gootoverstek"," ")</f>
        <v xml:space="preserve"> </v>
      </c>
      <c r="C78" s="104"/>
      <c r="D78" s="105"/>
      <c r="E78" s="104"/>
      <c r="F78" s="104"/>
      <c r="G78" s="107"/>
      <c r="H78" s="104"/>
      <c r="I78" s="104"/>
      <c r="J78" s="104"/>
      <c r="K78" s="104"/>
      <c r="L78" s="104"/>
      <c r="M78" s="24"/>
    </row>
    <row r="79" spans="2:13" x14ac:dyDescent="0.25">
      <c r="B79" s="173" t="str">
        <f>IF(C79=" "," ","RenoTwin schroef")</f>
        <v xml:space="preserve"> </v>
      </c>
      <c r="C79" s="104" t="str">
        <f>F63</f>
        <v xml:space="preserve"> </v>
      </c>
      <c r="D79" s="105" t="str">
        <f>IF(B79=" "," ",VLOOKUP(C79,'lijst renotwin'!J27:M38,2))</f>
        <v xml:space="preserve"> </v>
      </c>
      <c r="E79" s="104"/>
      <c r="F79" s="104"/>
      <c r="G79" s="107" t="str">
        <f>IF(B79=" "," ",CEILING(('lijst renotwin'!D5+'lijst renotwin'!E5)*3/VLOOKUP(C79,'lijst renotwin'!J27:M38,3),1))</f>
        <v xml:space="preserve"> </v>
      </c>
      <c r="H79" s="104" t="str">
        <f>IF(C79=" "," ","ds")</f>
        <v xml:space="preserve"> </v>
      </c>
      <c r="I79" s="104"/>
      <c r="J79" s="104"/>
      <c r="K79" s="104"/>
      <c r="L79" s="104"/>
      <c r="M79" s="24"/>
    </row>
    <row r="80" spans="2:13" ht="8.25" customHeight="1" x14ac:dyDescent="0.25">
      <c r="B80" s="119"/>
      <c r="C80" s="104"/>
      <c r="D80" s="105"/>
      <c r="E80" s="104"/>
      <c r="F80" s="104"/>
      <c r="G80" s="107"/>
      <c r="H80" s="104"/>
      <c r="I80" s="104"/>
      <c r="J80" s="104"/>
      <c r="K80" s="104"/>
      <c r="L80" s="104"/>
      <c r="M80" s="24"/>
    </row>
    <row r="81" spans="2:13" x14ac:dyDescent="0.25">
      <c r="B81" s="157" t="s">
        <v>211</v>
      </c>
      <c r="C81" s="158"/>
      <c r="D81" s="159"/>
      <c r="E81" s="158"/>
      <c r="F81" s="158"/>
      <c r="G81" s="160"/>
      <c r="H81" s="158"/>
      <c r="I81" s="158"/>
      <c r="J81" s="158"/>
      <c r="K81" s="158"/>
      <c r="L81" s="158"/>
      <c r="M81" s="24"/>
    </row>
    <row r="82" spans="2:13" ht="17.25" x14ac:dyDescent="0.25">
      <c r="B82" s="161" t="s">
        <v>212</v>
      </c>
      <c r="C82" s="158"/>
      <c r="D82" s="159" t="s">
        <v>213</v>
      </c>
      <c r="E82" s="158"/>
      <c r="F82" s="158"/>
      <c r="G82" s="162">
        <f>CEILING(((J30/1000)*'lijst renotwin'!D5)+((J47/1000)*'lijst renotwin'!E5),1)</f>
        <v>0</v>
      </c>
      <c r="H82" s="158" t="s">
        <v>215</v>
      </c>
      <c r="I82" s="163">
        <f>CEILING(G82/8,1)</f>
        <v>0</v>
      </c>
      <c r="J82" s="158" t="s">
        <v>214</v>
      </c>
      <c r="K82" s="158"/>
      <c r="L82" s="158"/>
    </row>
    <row r="83" spans="2:13" x14ac:dyDescent="0.25">
      <c r="B83" s="161" t="s">
        <v>260</v>
      </c>
      <c r="C83" s="158"/>
      <c r="D83" s="159" t="s">
        <v>210</v>
      </c>
      <c r="E83" s="158"/>
      <c r="F83" s="158"/>
      <c r="G83" s="162">
        <f>CEILING(((D30/1000*4*2*J40)+(D47/1000*4*2*J53))/100,1)</f>
        <v>0</v>
      </c>
      <c r="H83" s="158" t="s">
        <v>261</v>
      </c>
      <c r="I83" s="163"/>
      <c r="J83" s="158"/>
      <c r="K83" s="158"/>
      <c r="L83" s="158"/>
    </row>
    <row r="84" spans="2:13" x14ac:dyDescent="0.25">
      <c r="B84" s="164"/>
      <c r="C84" s="164"/>
      <c r="D84" s="164"/>
      <c r="E84" s="164"/>
      <c r="F84" s="164"/>
      <c r="G84" s="164"/>
      <c r="H84" s="158" t="s">
        <v>262</v>
      </c>
      <c r="I84" s="163"/>
      <c r="J84" s="158"/>
      <c r="K84" s="158"/>
      <c r="L84" s="158"/>
    </row>
    <row r="85" spans="2:13" x14ac:dyDescent="0.25">
      <c r="B85" s="161" t="str">
        <f>IF(J11&gt;=5,"Schroefhulp"," ")</f>
        <v xml:space="preserve"> </v>
      </c>
      <c r="C85" s="158"/>
      <c r="D85" s="159"/>
      <c r="E85" s="158"/>
      <c r="F85" s="158"/>
      <c r="G85" s="162" t="str">
        <f>IF(B85=" "," ",1)</f>
        <v xml:space="preserve"> </v>
      </c>
      <c r="H85" s="158" t="str">
        <f>IF(B85=" "," ","st.")</f>
        <v xml:space="preserve"> </v>
      </c>
      <c r="I85" s="163"/>
      <c r="J85" s="158"/>
      <c r="K85" s="158"/>
      <c r="L85" s="158"/>
    </row>
    <row r="86" spans="2:13" ht="8.25" customHeight="1" x14ac:dyDescent="0.25">
      <c r="B86" s="158"/>
      <c r="C86" s="158"/>
      <c r="D86" s="159"/>
      <c r="E86" s="158"/>
      <c r="F86" s="158"/>
      <c r="G86" s="160"/>
      <c r="H86" s="158"/>
      <c r="I86" s="163"/>
      <c r="J86" s="158"/>
      <c r="K86" s="158"/>
      <c r="L86" s="158"/>
    </row>
    <row r="87" spans="2:13" x14ac:dyDescent="0.25">
      <c r="B87" s="161" t="e">
        <f>VLOOKUP('lijst renotwin'!N5,'lijst renotwin'!C5:I15,6)</f>
        <v>#N/A</v>
      </c>
      <c r="C87" s="158"/>
      <c r="D87" s="159" t="e">
        <f>IF(B87=0," ","6 st./doos*")</f>
        <v>#N/A</v>
      </c>
      <c r="E87" s="158"/>
      <c r="F87" s="158"/>
      <c r="G87" s="160">
        <f>CEILING(((D30*J40)+(D47*J53))/11700,1)</f>
        <v>0</v>
      </c>
      <c r="H87" s="158" t="e">
        <f>IF(B87=0," ","ds")</f>
        <v>#N/A</v>
      </c>
      <c r="I87" s="163"/>
      <c r="J87" s="158"/>
      <c r="K87" s="158"/>
      <c r="L87" s="158"/>
    </row>
    <row r="88" spans="2:13" x14ac:dyDescent="0.25">
      <c r="B88" s="161" t="e">
        <f>VLOOKUP('lijst renotwin'!N5,'lijst renotwin'!C5:I15,7)</f>
        <v>#N/A</v>
      </c>
      <c r="C88" s="158"/>
      <c r="D88" s="159" t="e">
        <f>IF(B88=0," ","4 st./doos**")</f>
        <v>#N/A</v>
      </c>
      <c r="E88" s="158"/>
      <c r="F88" s="158"/>
      <c r="G88" s="204" t="s">
        <v>274</v>
      </c>
      <c r="H88" s="205"/>
      <c r="I88" s="205"/>
      <c r="J88" s="196"/>
      <c r="K88" s="158"/>
      <c r="L88" s="158"/>
    </row>
    <row r="89" spans="2:13" x14ac:dyDescent="0.25">
      <c r="B89" s="25" t="s">
        <v>190</v>
      </c>
    </row>
    <row r="90" spans="2:13" ht="8.25" customHeight="1" x14ac:dyDescent="0.25"/>
    <row r="91" spans="2:13" x14ac:dyDescent="0.25">
      <c r="B91" s="202" t="e">
        <f>IF(B87=0," ",'lijst reno'!A15)</f>
        <v>#N/A</v>
      </c>
      <c r="C91" s="203"/>
      <c r="D91" s="203"/>
      <c r="E91" s="203"/>
      <c r="F91" s="203"/>
      <c r="G91" s="203"/>
      <c r="H91" s="203"/>
      <c r="I91" s="203"/>
      <c r="J91" s="203"/>
      <c r="K91" s="203"/>
      <c r="L91" s="203"/>
    </row>
    <row r="92" spans="2:13" x14ac:dyDescent="0.25">
      <c r="B92" s="203"/>
      <c r="C92" s="203"/>
      <c r="D92" s="203"/>
      <c r="E92" s="203"/>
      <c r="F92" s="203"/>
      <c r="G92" s="203"/>
      <c r="H92" s="203"/>
      <c r="I92" s="203"/>
      <c r="J92" s="203"/>
      <c r="K92" s="203"/>
      <c r="L92" s="203"/>
    </row>
    <row r="93" spans="2:13" x14ac:dyDescent="0.25">
      <c r="B93" s="203"/>
      <c r="C93" s="203"/>
      <c r="D93" s="203"/>
      <c r="E93" s="203"/>
      <c r="F93" s="203"/>
      <c r="G93" s="203"/>
      <c r="H93" s="203"/>
      <c r="I93" s="203"/>
      <c r="J93" s="203"/>
      <c r="K93" s="203"/>
      <c r="L93" s="203"/>
    </row>
    <row r="94" spans="2:13" x14ac:dyDescent="0.25">
      <c r="B94" s="203"/>
      <c r="C94" s="203"/>
      <c r="D94" s="203"/>
      <c r="E94" s="203"/>
      <c r="F94" s="203"/>
      <c r="G94" s="203"/>
      <c r="H94" s="203"/>
      <c r="I94" s="203"/>
      <c r="J94" s="203"/>
      <c r="K94" s="203"/>
      <c r="L94" s="203"/>
    </row>
    <row r="95" spans="2:13" x14ac:dyDescent="0.25">
      <c r="B95" s="203"/>
      <c r="C95" s="203"/>
      <c r="D95" s="203"/>
      <c r="E95" s="203"/>
      <c r="F95" s="203"/>
      <c r="G95" s="203"/>
      <c r="H95" s="203"/>
      <c r="I95" s="203"/>
      <c r="J95" s="203"/>
      <c r="K95" s="203"/>
      <c r="L95" s="203"/>
    </row>
    <row r="96" spans="2:13" x14ac:dyDescent="0.25">
      <c r="B96" s="196"/>
      <c r="C96" s="196"/>
      <c r="D96" s="196"/>
      <c r="E96" s="196"/>
      <c r="F96" s="196"/>
      <c r="G96" s="196"/>
      <c r="H96" s="196"/>
      <c r="I96" s="196"/>
      <c r="J96" s="196"/>
      <c r="K96" s="196"/>
      <c r="L96" s="196"/>
    </row>
  </sheetData>
  <sheetProtection algorithmName="SHA-512" hashValue="+aAJSlFAm+N3z08dG/4Qratc6EdOFJ9YYb+5a9hWuPgfqkVGGSxUvYYqP/BU/X1CinbgXHy3ALEvBtnd+6RgTw==" saltValue="9A4VbDIrK+A146M3IXkPXA==" spinCount="100000" sheet="1" objects="1" scenarios="1"/>
  <mergeCells count="6">
    <mergeCell ref="D14:J14"/>
    <mergeCell ref="B16:L16"/>
    <mergeCell ref="B57:L57"/>
    <mergeCell ref="F59:G59"/>
    <mergeCell ref="B91:L96"/>
    <mergeCell ref="G88:J88"/>
  </mergeCells>
  <conditionalFormatting sqref="F60:F62 I60:I62 G64 I68 I70:I71 G70 C75:C81">
    <cfRule type="cellIs" dxfId="19" priority="12" operator="equal">
      <formula>0</formula>
    </cfRule>
  </conditionalFormatting>
  <conditionalFormatting sqref="B87:B88">
    <cfRule type="cellIs" dxfId="18" priority="8" operator="equal">
      <formula>0</formula>
    </cfRule>
  </conditionalFormatting>
  <conditionalFormatting sqref="L66:L67">
    <cfRule type="cellIs" dxfId="17" priority="7" operator="equal">
      <formula>0</formula>
    </cfRule>
  </conditionalFormatting>
  <conditionalFormatting sqref="F63">
    <cfRule type="cellIs" dxfId="16" priority="6" operator="equal">
      <formula>0</formula>
    </cfRule>
  </conditionalFormatting>
  <conditionalFormatting sqref="F68">
    <cfRule type="cellIs" dxfId="15" priority="5" operator="equal">
      <formula>0</formula>
    </cfRule>
  </conditionalFormatting>
  <conditionalFormatting sqref="F69:F71">
    <cfRule type="cellIs" dxfId="14" priority="3" operator="equal">
      <formula>0</formula>
    </cfRule>
  </conditionalFormatting>
  <conditionalFormatting sqref="I63">
    <cfRule type="cellIs" dxfId="13" priority="2" operator="equal">
      <formula>0</formula>
    </cfRule>
  </conditionalFormatting>
  <conditionalFormatting sqref="I69">
    <cfRule type="cellIs" dxfId="12" priority="1" operator="equal">
      <formula>0</formula>
    </cfRule>
  </conditionalFormatting>
  <dataValidations count="1">
    <dataValidation type="whole" allowBlank="1" showInputMessage="1" showErrorMessage="1" errorTitle="Lengte" error="Lengte mag min. 2.000 mm en max. 7.500 mm zijn" sqref="J30 J47" xr:uid="{77960F5E-DCEB-457C-B072-C8CDAED9F238}">
      <formula1>2000</formula1>
      <formula2>7500</formula2>
    </dataValidation>
  </dataValidations>
  <pageMargins left="0.51181102362204722" right="0" top="0.74803149606299213" bottom="0.74803149606299213" header="0.31496062992125984" footer="0.31496062992125984"/>
  <pageSetup paperSize="9" scale="63"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7E1DEF90-661D-4E32-8B37-DC337B2D45C5}">
          <x14:formula1>
            <xm:f>'lijst renotwin'!$B$5:$B$15</xm:f>
          </x14:formula1>
          <xm:sqref>J11</xm:sqref>
        </x14:dataValidation>
        <x14:dataValidation type="list" allowBlank="1" showInputMessage="1" showErrorMessage="1" xr:uid="{AD54857D-B498-414B-AD7F-24FD85230337}">
          <x14:formula1>
            <xm:f>' lijst slimfix'!$A$124:$A$126</xm:f>
          </x14:formula1>
          <xm:sqref>D33 D49:D50</xm:sqref>
        </x14:dataValidation>
        <x14:dataValidation type="list" allowBlank="1" showInputMessage="1" showErrorMessage="1" xr:uid="{AC602EDC-76CE-49CD-9514-F7A7C93678AF}">
          <x14:formula1>
            <xm:f>'lijst renotwin'!$G$27:$G$30</xm:f>
          </x14:formula1>
          <xm:sqref>D38 D51</xm:sqref>
        </x14:dataValidation>
        <x14:dataValidation type="list" allowBlank="1" showInputMessage="1" showErrorMessage="1" xr:uid="{56617502-4E56-4E09-B145-940BADD96F05}">
          <x14:formula1>
            <xm:f>'lijst renotwin'!$I$43:$I$48</xm:f>
          </x14:formula1>
          <xm:sqref>D40:D41 D43</xm:sqref>
        </x14:dataValidation>
        <x14:dataValidation type="list" allowBlank="1" showInputMessage="1" showErrorMessage="1" xr:uid="{2E5D9EB5-CC0B-4DBE-9822-29E5B041E9C5}">
          <x14:formula1>
            <xm:f>'lijst renotwin'!$I$51:$I$56</xm:f>
          </x14:formula1>
          <xm:sqref>D53:D54</xm:sqref>
        </x14:dataValidation>
        <x14:dataValidation type="list" allowBlank="1" showInputMessage="1" showErrorMessage="1" xr:uid="{C270D2FD-38A7-48B4-A69E-4B134FA72EA7}">
          <x14:formula1>
            <xm:f>'lijst renotwin'!$G$33:$G$35</xm:f>
          </x14:formula1>
          <xm:sqref>D42 D55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6DEF-6D67-47BD-BF93-B65683FA9F7B}">
  <dimension ref="A2:AB39"/>
  <sheetViews>
    <sheetView topLeftCell="A4" workbookViewId="0">
      <selection activeCell="O42" sqref="O42"/>
    </sheetView>
  </sheetViews>
  <sheetFormatPr defaultColWidth="9.140625" defaultRowHeight="12.75" x14ac:dyDescent="0.2"/>
  <cols>
    <col min="1" max="3" width="8.85546875" style="29" customWidth="1"/>
    <col min="4" max="4" width="11.42578125" style="29" customWidth="1"/>
    <col min="5" max="11" width="8.85546875" style="29" customWidth="1"/>
    <col min="12" max="14" width="9.140625" style="29"/>
    <col min="15" max="15" width="11.28515625" style="29" customWidth="1"/>
    <col min="16" max="16384" width="9.140625" style="29"/>
  </cols>
  <sheetData>
    <row r="2" spans="1:28" x14ac:dyDescent="0.2">
      <c r="A2" s="206" t="s">
        <v>164</v>
      </c>
      <c r="B2" s="207"/>
      <c r="C2" s="207"/>
      <c r="D2" s="207"/>
      <c r="E2" s="207"/>
      <c r="F2" s="207"/>
      <c r="G2" s="207"/>
      <c r="H2" s="207"/>
      <c r="I2" s="207"/>
      <c r="J2" s="207"/>
      <c r="L2" s="206" t="s">
        <v>165</v>
      </c>
      <c r="M2" s="207"/>
      <c r="N2" s="207"/>
      <c r="O2" s="207"/>
      <c r="P2" s="207"/>
      <c r="Q2" s="207"/>
      <c r="R2" s="207"/>
      <c r="S2" s="207"/>
      <c r="T2" s="207"/>
      <c r="U2" s="207"/>
    </row>
    <row r="3" spans="1:28" x14ac:dyDescent="0.2">
      <c r="A3" s="207"/>
      <c r="B3" s="207"/>
      <c r="C3" s="207"/>
      <c r="D3" s="207"/>
      <c r="E3" s="207"/>
      <c r="F3" s="207"/>
      <c r="G3" s="207"/>
      <c r="H3" s="207"/>
      <c r="I3" s="207"/>
      <c r="J3" s="207"/>
      <c r="L3" s="207"/>
      <c r="M3" s="207"/>
      <c r="N3" s="207"/>
      <c r="O3" s="207"/>
      <c r="P3" s="207"/>
      <c r="Q3" s="207"/>
      <c r="R3" s="207"/>
      <c r="S3" s="207"/>
      <c r="T3" s="207"/>
      <c r="U3" s="207"/>
    </row>
    <row r="4" spans="1:28" x14ac:dyDescent="0.2">
      <c r="A4" s="208"/>
      <c r="B4" s="208"/>
      <c r="C4" s="208"/>
      <c r="D4" s="208"/>
      <c r="E4" s="208"/>
      <c r="F4" s="208"/>
      <c r="G4" s="208"/>
      <c r="H4" s="208"/>
      <c r="I4" s="208"/>
      <c r="J4" s="208"/>
      <c r="L4" s="208"/>
      <c r="M4" s="208"/>
      <c r="N4" s="208"/>
      <c r="O4" s="208"/>
      <c r="P4" s="208"/>
      <c r="Q4" s="208"/>
      <c r="R4" s="208"/>
      <c r="S4" s="208"/>
      <c r="T4" s="208"/>
      <c r="U4" s="208"/>
    </row>
    <row r="5" spans="1:28" s="35" customFormat="1" x14ac:dyDescent="0.2">
      <c r="A5" s="31"/>
      <c r="B5" s="32" t="s">
        <v>51</v>
      </c>
      <c r="C5" s="33"/>
      <c r="D5" s="33" t="s">
        <v>52</v>
      </c>
      <c r="E5" s="33"/>
      <c r="F5" s="33"/>
      <c r="G5" s="33"/>
      <c r="H5" s="33"/>
      <c r="I5" s="33"/>
      <c r="J5" s="34"/>
      <c r="L5" s="31"/>
      <c r="M5" s="32" t="s">
        <v>51</v>
      </c>
      <c r="N5" s="33"/>
      <c r="O5" s="33" t="s">
        <v>52</v>
      </c>
      <c r="P5" s="33"/>
      <c r="Q5" s="33"/>
      <c r="R5" s="33"/>
      <c r="S5" s="33"/>
      <c r="T5" s="33"/>
      <c r="U5" s="34"/>
    </row>
    <row r="6" spans="1:28" s="35" customFormat="1" x14ac:dyDescent="0.25">
      <c r="A6" s="37" t="s">
        <v>53</v>
      </c>
      <c r="B6" s="38" t="s">
        <v>54</v>
      </c>
      <c r="C6" s="38"/>
      <c r="D6" s="38"/>
      <c r="E6" s="39"/>
      <c r="F6" s="38"/>
      <c r="G6" s="38"/>
      <c r="H6" s="38"/>
      <c r="I6" s="38"/>
      <c r="J6" s="40"/>
      <c r="L6" s="37" t="s">
        <v>53</v>
      </c>
      <c r="M6" s="38" t="s">
        <v>54</v>
      </c>
      <c r="N6" s="38"/>
      <c r="O6" s="38"/>
      <c r="P6" s="39"/>
      <c r="Q6" s="38"/>
      <c r="R6" s="38"/>
      <c r="S6" s="38"/>
      <c r="T6" s="38"/>
      <c r="U6" s="40"/>
    </row>
    <row r="7" spans="1:28" s="35" customFormat="1" ht="14.25" x14ac:dyDescent="0.2">
      <c r="A7" s="41"/>
      <c r="B7" s="42" t="s">
        <v>56</v>
      </c>
      <c r="C7" s="43">
        <f>IF(AND(C11&gt;=0,C11&lt;=30),0.8,IF(AND(C11&gt;30,C11&lt;60),(60-C11)/30*0.8,IF(AND(C11&gt;=60,C11&lt;=90),0,IF(C11&gt;90," hoek ???",IF(C11&lt;0," hoek ???"," ")))))</f>
        <v>0.8</v>
      </c>
      <c r="E7" s="42" t="s">
        <v>57</v>
      </c>
      <c r="F7" s="44">
        <v>1</v>
      </c>
      <c r="G7" s="42" t="s">
        <v>58</v>
      </c>
      <c r="H7" s="45">
        <f>0.7*((1-(H8*SQRT(6)/PI()*(LN(-LN(1-1/50))+0.57222)))/(1+2.5923*H8))</f>
        <v>0.70070522619797015</v>
      </c>
      <c r="I7" s="35" t="s">
        <v>59</v>
      </c>
      <c r="J7" s="46"/>
      <c r="L7" s="41"/>
      <c r="M7" s="42" t="s">
        <v>56</v>
      </c>
      <c r="N7" s="43">
        <f>IF(AND(N11&gt;=0,N11&lt;=30),0.8,IF(AND(N11&gt;30,N11&lt;60),(60-N11)/30*0.8,IF(AND(N11&gt;=60,N11&lt;=90),0,IF(N11&gt;90," hoek ???",IF(N11&lt;0," hoek ???"," ")))))</f>
        <v>0.8</v>
      </c>
      <c r="P7" s="42" t="s">
        <v>57</v>
      </c>
      <c r="Q7" s="44">
        <v>1</v>
      </c>
      <c r="R7" s="42" t="s">
        <v>58</v>
      </c>
      <c r="S7" s="45">
        <f>0.7*((1-(S8*SQRT(6)/PI()*(LN(-LN(1-1/50))+0.57222)))/(1+2.5923*S8))</f>
        <v>0.70070522619797015</v>
      </c>
      <c r="T7" s="35" t="s">
        <v>59</v>
      </c>
      <c r="U7" s="46"/>
    </row>
    <row r="8" spans="1:28" s="35" customFormat="1" ht="14.25" x14ac:dyDescent="0.2">
      <c r="A8" s="48"/>
      <c r="B8" s="49" t="s">
        <v>62</v>
      </c>
      <c r="C8" s="50">
        <f>C7*F7*F8*H7</f>
        <v>0.56056418095837612</v>
      </c>
      <c r="D8" s="51" t="s">
        <v>59</v>
      </c>
      <c r="E8" s="49" t="s">
        <v>63</v>
      </c>
      <c r="F8" s="52">
        <v>1</v>
      </c>
      <c r="G8" s="53" t="s">
        <v>64</v>
      </c>
      <c r="H8" s="54">
        <v>0.8</v>
      </c>
      <c r="I8" s="51"/>
      <c r="J8" s="55"/>
      <c r="L8" s="48"/>
      <c r="M8" s="49" t="s">
        <v>62</v>
      </c>
      <c r="N8" s="50">
        <f>N7*Q7*Q8*S7</f>
        <v>0.56056418095837612</v>
      </c>
      <c r="O8" s="51" t="s">
        <v>59</v>
      </c>
      <c r="P8" s="49" t="s">
        <v>63</v>
      </c>
      <c r="Q8" s="52">
        <v>1</v>
      </c>
      <c r="R8" s="53" t="s">
        <v>64</v>
      </c>
      <c r="S8" s="54">
        <v>0.8</v>
      </c>
      <c r="T8" s="51"/>
      <c r="U8" s="55"/>
    </row>
    <row r="9" spans="1:28" s="35" customFormat="1" x14ac:dyDescent="0.2">
      <c r="A9" s="29"/>
      <c r="L9" s="29"/>
    </row>
    <row r="10" spans="1:28" x14ac:dyDescent="0.2">
      <c r="B10" s="29" t="s">
        <v>67</v>
      </c>
      <c r="C10" s="189" t="str">
        <f>SlimFix!D11&amp;" "&amp;SlimFix!J11</f>
        <v xml:space="preserve">_Type </v>
      </c>
      <c r="D10" s="189"/>
      <c r="K10" s="35"/>
      <c r="M10" s="29" t="s">
        <v>67</v>
      </c>
      <c r="N10" s="189" t="str">
        <f>SlimFix!D11&amp;" "&amp;SlimFix!J11</f>
        <v xml:space="preserve">_Type </v>
      </c>
      <c r="O10" s="189"/>
    </row>
    <row r="11" spans="1:28" x14ac:dyDescent="0.2">
      <c r="B11" s="56" t="s">
        <v>70</v>
      </c>
      <c r="C11" s="57">
        <f>SlimFix!D44</f>
        <v>0</v>
      </c>
      <c r="K11" s="35"/>
      <c r="M11" s="56" t="s">
        <v>70</v>
      </c>
      <c r="N11" s="57">
        <f>SlimFix!$D$57</f>
        <v>0</v>
      </c>
    </row>
    <row r="12" spans="1:28" x14ac:dyDescent="0.2">
      <c r="G12" s="29" t="str">
        <f>SlimFix!D30</f>
        <v>1,2 of 3 bouwlagen (ééngezinswoning)</v>
      </c>
      <c r="K12" s="35"/>
      <c r="R12" s="29" t="str">
        <f>SlimFix!D48</f>
        <v>1,2 of 3 bouwlagen (ééngezinswoning)</v>
      </c>
    </row>
    <row r="13" spans="1:28" x14ac:dyDescent="0.2">
      <c r="K13" s="35"/>
    </row>
    <row r="14" spans="1:28" ht="14.25" x14ac:dyDescent="0.2">
      <c r="B14" s="42" t="s">
        <v>74</v>
      </c>
      <c r="C14" s="47" t="e">
        <f>VLOOKUP(C10,' lijst slimfix'!C5:E106,3)</f>
        <v>#N/A</v>
      </c>
      <c r="D14" s="29" t="s">
        <v>59</v>
      </c>
      <c r="K14" s="35"/>
      <c r="M14" s="42" t="s">
        <v>74</v>
      </c>
      <c r="N14" s="47" t="e">
        <f>VLOOKUP(C10,' lijst slimfix'!C5:E106,3)</f>
        <v>#N/A</v>
      </c>
      <c r="O14" s="29" t="s">
        <v>59</v>
      </c>
    </row>
    <row r="15" spans="1:28" ht="14.25" x14ac:dyDescent="0.2">
      <c r="B15" s="42" t="s">
        <v>76</v>
      </c>
      <c r="C15" s="58">
        <f>SlimFix!D41</f>
        <v>0</v>
      </c>
      <c r="D15" s="29" t="s">
        <v>77</v>
      </c>
      <c r="E15" s="29" t="s">
        <v>78</v>
      </c>
      <c r="G15" s="42" t="s">
        <v>79</v>
      </c>
      <c r="K15" s="35"/>
      <c r="M15" s="42" t="s">
        <v>76</v>
      </c>
      <c r="N15" s="88">
        <f>SlimFix!$D$54</f>
        <v>0</v>
      </c>
      <c r="O15" s="29" t="s">
        <v>77</v>
      </c>
      <c r="P15" s="29" t="s">
        <v>78</v>
      </c>
      <c r="R15" s="42" t="s">
        <v>79</v>
      </c>
    </row>
    <row r="16" spans="1:28" ht="14.25" x14ac:dyDescent="0.2">
      <c r="B16" s="49" t="s">
        <v>81</v>
      </c>
      <c r="C16" s="59">
        <f>SlimFix!J41</f>
        <v>0</v>
      </c>
      <c r="D16" s="28" t="s">
        <v>77</v>
      </c>
      <c r="E16" s="29" t="s">
        <v>82</v>
      </c>
      <c r="G16" s="60" t="s">
        <v>83</v>
      </c>
      <c r="K16" s="35"/>
      <c r="M16" s="49" t="s">
        <v>81</v>
      </c>
      <c r="N16" s="59">
        <f>SlimFix!$J$54</f>
        <v>0</v>
      </c>
      <c r="O16" s="28" t="s">
        <v>77</v>
      </c>
      <c r="P16" s="29" t="s">
        <v>82</v>
      </c>
      <c r="R16" s="60" t="s">
        <v>83</v>
      </c>
    </row>
    <row r="17" spans="1:21" ht="14.25" x14ac:dyDescent="0.2">
      <c r="B17" s="29" t="s">
        <v>84</v>
      </c>
      <c r="C17" s="47" t="e">
        <f>SUM(C14:C16)/100</f>
        <v>#N/A</v>
      </c>
      <c r="D17" s="29" t="s">
        <v>85</v>
      </c>
      <c r="E17" s="61" t="e">
        <f>C17*SIN(C11/180*PI())*C22</f>
        <v>#N/A</v>
      </c>
      <c r="F17" s="29" t="s">
        <v>86</v>
      </c>
      <c r="G17" s="47">
        <f>IF(G12="Meer dan 3 bouwlagen (appartement, openbaar gebouw)",1.2,1.08)</f>
        <v>1.08</v>
      </c>
      <c r="H17" s="61" t="e">
        <f>E17*G17</f>
        <v>#N/A</v>
      </c>
      <c r="I17" s="29" t="s">
        <v>87</v>
      </c>
      <c r="K17" s="35"/>
      <c r="M17" s="29" t="s">
        <v>84</v>
      </c>
      <c r="N17" s="47" t="e">
        <f>SUM(N14:N16)/100</f>
        <v>#N/A</v>
      </c>
      <c r="O17" s="29" t="s">
        <v>85</v>
      </c>
      <c r="P17" s="61" t="e">
        <f>N17*SIN(N11/180*PI())*N22</f>
        <v>#N/A</v>
      </c>
      <c r="Q17" s="29" t="s">
        <v>86</v>
      </c>
      <c r="R17" s="47">
        <f>IF(R12="Meer dan 3 bouwlagen (appartement, openbaar gebouw)",1.2,1.08)</f>
        <v>1.08</v>
      </c>
      <c r="S17" s="61" t="e">
        <f>P17*R17</f>
        <v>#N/A</v>
      </c>
      <c r="T17" s="29" t="s">
        <v>87</v>
      </c>
    </row>
    <row r="18" spans="1:21" ht="14.25" x14ac:dyDescent="0.2">
      <c r="B18" s="29" t="s">
        <v>89</v>
      </c>
      <c r="C18" s="61">
        <f>C8</f>
        <v>0.56056418095837612</v>
      </c>
      <c r="D18" s="29" t="s">
        <v>85</v>
      </c>
      <c r="E18" s="61">
        <f>C18*COS(C11/180*PI())*SIN(C11/180*PI())*C22</f>
        <v>0</v>
      </c>
      <c r="F18" s="29" t="s">
        <v>86</v>
      </c>
      <c r="G18" s="47">
        <f>IF(G12="Meer dan 3 bouwlagen (appartement, openbaar gebouw)",1.5,1.35)</f>
        <v>1.35</v>
      </c>
      <c r="H18" s="62">
        <f>E18*G18</f>
        <v>0</v>
      </c>
      <c r="I18" s="29" t="s">
        <v>87</v>
      </c>
      <c r="K18" s="35"/>
      <c r="M18" s="29" t="s">
        <v>89</v>
      </c>
      <c r="N18" s="61">
        <f>N8</f>
        <v>0.56056418095837612</v>
      </c>
      <c r="O18" s="29" t="s">
        <v>85</v>
      </c>
      <c r="P18" s="61">
        <f>N18*COS(N11/180*PI())*SIN(N11/180*PI())*N22</f>
        <v>0</v>
      </c>
      <c r="Q18" s="29" t="s">
        <v>86</v>
      </c>
      <c r="R18" s="47">
        <f>IF(R12="Meer dan 3 bouwlagen (appartement, openbaar gebouw)",1.5,1.35)</f>
        <v>1.35</v>
      </c>
      <c r="S18" s="62">
        <f>P18*R18</f>
        <v>0</v>
      </c>
      <c r="T18" s="29" t="s">
        <v>87</v>
      </c>
    </row>
    <row r="19" spans="1:21" ht="14.25" x14ac:dyDescent="0.2">
      <c r="H19" s="61" t="e">
        <f>SUM(H17:H18)</f>
        <v>#N/A</v>
      </c>
      <c r="I19" s="29" t="s">
        <v>87</v>
      </c>
      <c r="K19" s="35"/>
      <c r="S19" s="61" t="e">
        <f>SUM(S17:S18)</f>
        <v>#N/A</v>
      </c>
      <c r="T19" s="29" t="s">
        <v>87</v>
      </c>
    </row>
    <row r="20" spans="1:21" x14ac:dyDescent="0.2">
      <c r="K20" s="35"/>
    </row>
    <row r="21" spans="1:21" x14ac:dyDescent="0.2">
      <c r="B21" s="56" t="s">
        <v>93</v>
      </c>
      <c r="C21" s="58">
        <f>SlimFix!J32/1000</f>
        <v>0</v>
      </c>
      <c r="D21" s="29" t="s">
        <v>94</v>
      </c>
      <c r="H21" s="61" t="e">
        <f>(C21*H19)</f>
        <v>#N/A</v>
      </c>
      <c r="I21" s="29" t="s">
        <v>95</v>
      </c>
      <c r="K21" s="35"/>
      <c r="M21" s="56" t="s">
        <v>93</v>
      </c>
      <c r="N21" s="88">
        <f>SlimFix!J50/1000</f>
        <v>0</v>
      </c>
      <c r="O21" s="29" t="s">
        <v>94</v>
      </c>
      <c r="S21" s="61" t="e">
        <f>N21*S19</f>
        <v>#N/A</v>
      </c>
      <c r="T21" s="29" t="s">
        <v>95</v>
      </c>
    </row>
    <row r="22" spans="1:21" x14ac:dyDescent="0.2">
      <c r="B22" s="42" t="s">
        <v>97</v>
      </c>
      <c r="C22" s="58">
        <v>1.02</v>
      </c>
      <c r="D22" s="29" t="s">
        <v>94</v>
      </c>
      <c r="K22" s="35"/>
      <c r="M22" s="42" t="s">
        <v>97</v>
      </c>
      <c r="N22" s="88">
        <v>1.02</v>
      </c>
      <c r="O22" s="29" t="s">
        <v>94</v>
      </c>
    </row>
    <row r="23" spans="1:21" x14ac:dyDescent="0.2">
      <c r="K23" s="35"/>
    </row>
    <row r="24" spans="1:21" x14ac:dyDescent="0.2">
      <c r="A24" s="63"/>
      <c r="B24" s="64"/>
      <c r="C24" s="64"/>
      <c r="D24" s="64"/>
      <c r="E24" s="64" t="s">
        <v>100</v>
      </c>
      <c r="F24" s="64" t="s">
        <v>101</v>
      </c>
      <c r="G24" s="64"/>
      <c r="H24" s="64" t="s">
        <v>102</v>
      </c>
      <c r="I24" s="64" t="s">
        <v>103</v>
      </c>
      <c r="J24" s="65"/>
      <c r="K24" s="35"/>
      <c r="L24" s="63"/>
      <c r="M24" s="64"/>
      <c r="N24" s="64"/>
      <c r="O24" s="64"/>
      <c r="P24" s="64" t="s">
        <v>100</v>
      </c>
      <c r="Q24" s="64" t="s">
        <v>101</v>
      </c>
      <c r="R24" s="64"/>
      <c r="S24" s="64" t="s">
        <v>102</v>
      </c>
      <c r="T24" s="64" t="s">
        <v>103</v>
      </c>
      <c r="U24" s="65"/>
    </row>
    <row r="25" spans="1:21" x14ac:dyDescent="0.2">
      <c r="A25" s="48"/>
      <c r="B25" s="49" t="s">
        <v>104</v>
      </c>
      <c r="C25" s="66" t="e">
        <f>VLOOKUP(C10,' lijst slimfix'!C5:D106,2)</f>
        <v>#N/A</v>
      </c>
      <c r="D25" s="28" t="s">
        <v>105</v>
      </c>
      <c r="E25" s="66" t="s">
        <v>106</v>
      </c>
      <c r="F25" s="28" t="s">
        <v>107</v>
      </c>
      <c r="G25" s="28"/>
      <c r="H25" s="28" t="s">
        <v>108</v>
      </c>
      <c r="I25" s="28" t="s">
        <v>109</v>
      </c>
      <c r="J25" s="67"/>
      <c r="K25" s="35"/>
      <c r="L25" s="48"/>
      <c r="M25" s="49" t="s">
        <v>104</v>
      </c>
      <c r="N25" s="66" t="e">
        <f>VLOOKUP(C10,' lijst slimfix'!C5:D106,2)</f>
        <v>#N/A</v>
      </c>
      <c r="O25" s="28" t="s">
        <v>105</v>
      </c>
      <c r="P25" s="66" t="s">
        <v>106</v>
      </c>
      <c r="Q25" s="28" t="s">
        <v>107</v>
      </c>
      <c r="R25" s="28"/>
      <c r="S25" s="28" t="s">
        <v>108</v>
      </c>
      <c r="T25" s="28" t="s">
        <v>109</v>
      </c>
      <c r="U25" s="67"/>
    </row>
    <row r="26" spans="1:21" ht="16.5" x14ac:dyDescent="0.25">
      <c r="A26" s="68" t="s">
        <v>110</v>
      </c>
      <c r="B26" s="69"/>
      <c r="C26" s="69"/>
      <c r="D26" s="69"/>
      <c r="E26" s="70">
        <v>302</v>
      </c>
      <c r="F26" s="70">
        <v>302</v>
      </c>
      <c r="G26" s="69"/>
      <c r="H26" s="70">
        <f>$F$26*3</f>
        <v>906</v>
      </c>
      <c r="I26" s="71" t="e">
        <f>CEILING(($H$21*1000-H26)/F26,1)</f>
        <v>#N/A</v>
      </c>
      <c r="J26" s="72" t="s">
        <v>111</v>
      </c>
      <c r="K26" s="35"/>
      <c r="L26" s="68" t="s">
        <v>110</v>
      </c>
      <c r="M26" s="69"/>
      <c r="N26" s="69"/>
      <c r="O26" s="69"/>
      <c r="P26" s="70">
        <v>302</v>
      </c>
      <c r="Q26" s="70">
        <v>302</v>
      </c>
      <c r="R26" s="69"/>
      <c r="S26" s="70">
        <f>$Q$26*3</f>
        <v>906</v>
      </c>
      <c r="T26" s="71" t="e">
        <f>CEILING(($S$21*1000-S26)/Q26,1)</f>
        <v>#N/A</v>
      </c>
      <c r="U26" s="72" t="s">
        <v>111</v>
      </c>
    </row>
    <row r="27" spans="1:21" ht="14.25" x14ac:dyDescent="0.2">
      <c r="A27" s="73" t="s">
        <v>112</v>
      </c>
      <c r="B27" s="74"/>
      <c r="C27" s="74"/>
      <c r="D27" s="74"/>
      <c r="E27" s="75" t="s">
        <v>113</v>
      </c>
      <c r="F27" s="75">
        <v>400</v>
      </c>
      <c r="G27" s="74"/>
      <c r="H27" s="75">
        <f>$F$26*3</f>
        <v>906</v>
      </c>
      <c r="I27" s="76" t="e">
        <f>CEILING(($H$21*1000-H27)/F27,1)</f>
        <v>#N/A</v>
      </c>
      <c r="J27" s="77" t="s">
        <v>114</v>
      </c>
      <c r="K27" s="35"/>
      <c r="L27" s="73" t="s">
        <v>112</v>
      </c>
      <c r="M27" s="74"/>
      <c r="N27" s="74"/>
      <c r="O27" s="74"/>
      <c r="P27" s="75" t="s">
        <v>113</v>
      </c>
      <c r="Q27" s="75">
        <v>400</v>
      </c>
      <c r="R27" s="74"/>
      <c r="S27" s="75">
        <f>$Q$26*3</f>
        <v>906</v>
      </c>
      <c r="T27" s="76" t="e">
        <f>CEILING(($S$21*1000-S27)/Q27,1)</f>
        <v>#N/A</v>
      </c>
      <c r="U27" s="77" t="s">
        <v>114</v>
      </c>
    </row>
    <row r="28" spans="1:21" ht="16.5" x14ac:dyDescent="0.25">
      <c r="A28" s="73" t="s">
        <v>115</v>
      </c>
      <c r="B28" s="74"/>
      <c r="C28" s="74"/>
      <c r="D28" s="74"/>
      <c r="E28" s="75" t="s">
        <v>113</v>
      </c>
      <c r="F28" s="75">
        <v>600</v>
      </c>
      <c r="G28" s="74"/>
      <c r="H28" s="75">
        <f>$F$28*3</f>
        <v>1800</v>
      </c>
      <c r="I28" s="76" t="e">
        <f>CEILING(($H$21*1000-H28)/F28,1)</f>
        <v>#N/A</v>
      </c>
      <c r="J28" s="77" t="s">
        <v>111</v>
      </c>
      <c r="K28" s="35"/>
      <c r="L28" s="73" t="s">
        <v>115</v>
      </c>
      <c r="M28" s="74"/>
      <c r="N28" s="74"/>
      <c r="O28" s="74"/>
      <c r="P28" s="75" t="s">
        <v>113</v>
      </c>
      <c r="Q28" s="75">
        <v>600</v>
      </c>
      <c r="R28" s="74"/>
      <c r="S28" s="75">
        <f>$Q$28*3</f>
        <v>1800</v>
      </c>
      <c r="T28" s="76" t="e">
        <f>CEILING(($S$21*1000-S28)/Q28,1)</f>
        <v>#N/A</v>
      </c>
      <c r="U28" s="77" t="s">
        <v>111</v>
      </c>
    </row>
    <row r="29" spans="1:21" ht="14.25" x14ac:dyDescent="0.2">
      <c r="A29" s="78" t="s">
        <v>116</v>
      </c>
      <c r="B29" s="79"/>
      <c r="C29" s="79"/>
      <c r="D29" s="79"/>
      <c r="E29" s="80" t="s">
        <v>113</v>
      </c>
      <c r="F29" s="80">
        <v>700</v>
      </c>
      <c r="G29" s="79"/>
      <c r="H29" s="80">
        <f>$F$28*3</f>
        <v>1800</v>
      </c>
      <c r="I29" s="81" t="e">
        <f>CEILING(($H$21*1000-H29)/F29,1)</f>
        <v>#N/A</v>
      </c>
      <c r="J29" s="82" t="s">
        <v>114</v>
      </c>
      <c r="K29" s="35"/>
      <c r="L29" s="78" t="s">
        <v>116</v>
      </c>
      <c r="M29" s="79"/>
      <c r="N29" s="79"/>
      <c r="O29" s="79"/>
      <c r="P29" s="80" t="s">
        <v>113</v>
      </c>
      <c r="Q29" s="80">
        <v>700</v>
      </c>
      <c r="R29" s="79"/>
      <c r="S29" s="80">
        <f>$Q$28*3</f>
        <v>1800</v>
      </c>
      <c r="T29" s="81" t="e">
        <f>CEILING(($S$21*1000-S29)/Q29,1)</f>
        <v>#N/A</v>
      </c>
      <c r="U29" s="82" t="s">
        <v>114</v>
      </c>
    </row>
    <row r="30" spans="1:21" x14ac:dyDescent="0.2">
      <c r="K30" s="35"/>
    </row>
    <row r="31" spans="1:21" ht="15" x14ac:dyDescent="0.25">
      <c r="A31" s="212" t="s">
        <v>181</v>
      </c>
      <c r="B31" s="213"/>
      <c r="C31" s="213"/>
      <c r="D31" s="213"/>
      <c r="E31" s="213"/>
      <c r="F31" s="213"/>
      <c r="G31" s="213"/>
      <c r="H31" s="213"/>
      <c r="I31" s="213"/>
      <c r="J31" s="214"/>
      <c r="K31" s="35"/>
      <c r="L31" s="212" t="s">
        <v>181</v>
      </c>
      <c r="M31" s="213"/>
      <c r="N31" s="213"/>
      <c r="O31" s="213"/>
      <c r="P31" s="213"/>
      <c r="Q31" s="213"/>
      <c r="R31" s="213"/>
      <c r="S31" s="213"/>
      <c r="T31" s="213"/>
      <c r="U31" s="214"/>
    </row>
    <row r="32" spans="1:21" ht="15" x14ac:dyDescent="0.25">
      <c r="A32" s="209" t="s">
        <v>160</v>
      </c>
      <c r="B32" s="210"/>
      <c r="C32" s="210"/>
      <c r="D32" s="210"/>
      <c r="E32" s="210"/>
      <c r="F32" s="210"/>
      <c r="G32" s="210"/>
      <c r="H32" s="210"/>
      <c r="I32" s="210"/>
      <c r="J32" s="211"/>
      <c r="K32" s="35"/>
      <c r="L32" s="209" t="s">
        <v>165</v>
      </c>
      <c r="M32" s="210"/>
      <c r="N32" s="210"/>
      <c r="O32" s="210"/>
      <c r="P32" s="210"/>
      <c r="Q32" s="210"/>
      <c r="R32" s="210"/>
      <c r="S32" s="210"/>
      <c r="T32" s="210"/>
      <c r="U32" s="211"/>
    </row>
    <row r="33" spans="1:21" x14ac:dyDescent="0.2">
      <c r="K33" s="44"/>
      <c r="P33" s="44"/>
      <c r="Q33" s="83"/>
      <c r="R33" s="44"/>
      <c r="S33" s="44"/>
    </row>
    <row r="34" spans="1:21" x14ac:dyDescent="0.2">
      <c r="A34" s="63"/>
      <c r="B34" s="64"/>
      <c r="C34" s="64"/>
      <c r="D34" s="64"/>
      <c r="E34" s="64" t="s">
        <v>100</v>
      </c>
      <c r="F34" s="64" t="s">
        <v>101</v>
      </c>
      <c r="G34" s="64"/>
      <c r="H34" s="64" t="s">
        <v>102</v>
      </c>
      <c r="I34" s="64" t="s">
        <v>103</v>
      </c>
      <c r="J34" s="65"/>
      <c r="K34" s="44"/>
      <c r="L34" s="63"/>
      <c r="M34" s="64"/>
      <c r="N34" s="64"/>
      <c r="O34" s="64"/>
      <c r="P34" s="64" t="s">
        <v>100</v>
      </c>
      <c r="Q34" s="64" t="s">
        <v>101</v>
      </c>
      <c r="R34" s="64"/>
      <c r="S34" s="64" t="s">
        <v>102</v>
      </c>
      <c r="T34" s="64" t="s">
        <v>103</v>
      </c>
      <c r="U34" s="65"/>
    </row>
    <row r="35" spans="1:21" x14ac:dyDescent="0.2">
      <c r="A35" s="48"/>
      <c r="B35" s="49" t="s">
        <v>104</v>
      </c>
      <c r="C35" s="66" t="e">
        <f>VLOOKUP(C10,' lijst slimfix'!C5:D106,2)</f>
        <v>#N/A</v>
      </c>
      <c r="D35" s="28" t="s">
        <v>105</v>
      </c>
      <c r="E35" s="66" t="s">
        <v>106</v>
      </c>
      <c r="F35" s="28" t="s">
        <v>107</v>
      </c>
      <c r="G35" s="28"/>
      <c r="H35" s="28" t="s">
        <v>108</v>
      </c>
      <c r="I35" s="28" t="s">
        <v>109</v>
      </c>
      <c r="J35" s="67"/>
      <c r="K35" s="44"/>
      <c r="L35" s="48"/>
      <c r="M35" s="49" t="s">
        <v>104</v>
      </c>
      <c r="N35" s="66" t="e">
        <f>VLOOKUP(N10,' lijst slimfix'!C5:D106,2)</f>
        <v>#N/A</v>
      </c>
      <c r="O35" s="28" t="s">
        <v>105</v>
      </c>
      <c r="P35" s="66" t="s">
        <v>106</v>
      </c>
      <c r="Q35" s="28" t="s">
        <v>107</v>
      </c>
      <c r="R35" s="28"/>
      <c r="S35" s="28" t="s">
        <v>108</v>
      </c>
      <c r="T35" s="28" t="s">
        <v>109</v>
      </c>
      <c r="U35" s="67"/>
    </row>
    <row r="36" spans="1:21" ht="16.5" x14ac:dyDescent="0.25">
      <c r="A36" s="68" t="s">
        <v>110</v>
      </c>
      <c r="B36" s="69"/>
      <c r="C36" s="69"/>
      <c r="D36" s="69"/>
      <c r="E36" s="70">
        <v>302</v>
      </c>
      <c r="F36" s="70">
        <v>302</v>
      </c>
      <c r="G36" s="69">
        <v>1810</v>
      </c>
      <c r="H36" s="70">
        <f>2*G36+F36</f>
        <v>3922</v>
      </c>
      <c r="I36" s="71" t="e">
        <f>CEILING(($H$21*1000-H36)/F36,1)</f>
        <v>#N/A</v>
      </c>
      <c r="J36" s="72" t="s">
        <v>111</v>
      </c>
      <c r="K36"/>
      <c r="L36" s="68" t="s">
        <v>110</v>
      </c>
      <c r="M36" s="69"/>
      <c r="N36" s="69"/>
      <c r="O36" s="69"/>
      <c r="P36" s="70">
        <v>302</v>
      </c>
      <c r="Q36" s="70">
        <v>302</v>
      </c>
      <c r="R36" s="69">
        <v>1810</v>
      </c>
      <c r="S36" s="70">
        <f>2*R36+Q36</f>
        <v>3922</v>
      </c>
      <c r="T36" s="71" t="e">
        <f>CEILING(($S$21*1000-S36)/Q36,1)</f>
        <v>#N/A</v>
      </c>
      <c r="U36" s="72" t="s">
        <v>111</v>
      </c>
    </row>
    <row r="37" spans="1:21" ht="16.5" x14ac:dyDescent="0.25">
      <c r="A37" s="78" t="s">
        <v>115</v>
      </c>
      <c r="B37" s="79"/>
      <c r="C37" s="79"/>
      <c r="D37" s="79"/>
      <c r="E37" s="80" t="s">
        <v>113</v>
      </c>
      <c r="F37" s="80">
        <v>600</v>
      </c>
      <c r="G37" s="79">
        <v>1810</v>
      </c>
      <c r="H37" s="80">
        <f>2*G37+F37</f>
        <v>4220</v>
      </c>
      <c r="I37" s="81" t="e">
        <f>CEILING(($H$21*1000-H37)/F37,1)</f>
        <v>#N/A</v>
      </c>
      <c r="J37" s="82" t="s">
        <v>111</v>
      </c>
      <c r="K37"/>
      <c r="L37" s="78" t="s">
        <v>115</v>
      </c>
      <c r="M37" s="79"/>
      <c r="N37" s="79"/>
      <c r="O37" s="79"/>
      <c r="P37" s="80" t="s">
        <v>113</v>
      </c>
      <c r="Q37" s="80">
        <v>600</v>
      </c>
      <c r="R37" s="79">
        <v>1810</v>
      </c>
      <c r="S37" s="80">
        <f>2*R37+Q37</f>
        <v>4220</v>
      </c>
      <c r="T37" s="81" t="e">
        <f>CEILING(($S$21*1000-S37)/Q37,1)</f>
        <v>#N/A</v>
      </c>
      <c r="U37" s="82" t="s">
        <v>111</v>
      </c>
    </row>
    <row r="38" spans="1:21" ht="15" x14ac:dyDescent="0.25">
      <c r="K38"/>
      <c r="P38" s="44"/>
      <c r="Q38" s="44"/>
      <c r="R38" s="44"/>
      <c r="S38" s="44"/>
    </row>
    <row r="39" spans="1:21" ht="15" x14ac:dyDescent="0.25">
      <c r="K39"/>
      <c r="L39" s="42"/>
      <c r="M39" s="85"/>
      <c r="N39" s="44"/>
      <c r="O39" s="83"/>
      <c r="P39" s="44"/>
      <c r="Q39" s="44"/>
      <c r="R39" s="44"/>
      <c r="S39" s="44"/>
    </row>
  </sheetData>
  <mergeCells count="8">
    <mergeCell ref="C10:D10"/>
    <mergeCell ref="N10:O10"/>
    <mergeCell ref="A2:J4"/>
    <mergeCell ref="L2:U4"/>
    <mergeCell ref="A32:J32"/>
    <mergeCell ref="L32:U32"/>
    <mergeCell ref="A31:J31"/>
    <mergeCell ref="L31:U31"/>
  </mergeCells>
  <conditionalFormatting sqref="G7 E7:F8 P7:Q8">
    <cfRule type="expression" dxfId="11" priority="11" stopIfTrue="1">
      <formula>IF($W$43=1,1,0)</formula>
    </cfRule>
  </conditionalFormatting>
  <conditionalFormatting sqref="H7">
    <cfRule type="expression" dxfId="10" priority="10" stopIfTrue="1">
      <formula>IF($W$43=1,1,0)</formula>
    </cfRule>
  </conditionalFormatting>
  <conditionalFormatting sqref="A26:J27">
    <cfRule type="expression" dxfId="9" priority="12">
      <formula>IF($C$25=3,1,0)</formula>
    </cfRule>
  </conditionalFormatting>
  <conditionalFormatting sqref="A28:J29">
    <cfRule type="expression" dxfId="8" priority="9">
      <formula>IF($C$25=8,1,0)</formula>
    </cfRule>
  </conditionalFormatting>
  <conditionalFormatting sqref="R7">
    <cfRule type="expression" dxfId="7" priority="7" stopIfTrue="1">
      <formula>IF($W$43=1,1,0)</formula>
    </cfRule>
  </conditionalFormatting>
  <conditionalFormatting sqref="S7">
    <cfRule type="expression" dxfId="6" priority="6" stopIfTrue="1">
      <formula>IF($W$43=1,1,0)</formula>
    </cfRule>
  </conditionalFormatting>
  <conditionalFormatting sqref="L26:U27">
    <cfRule type="expression" dxfId="5" priority="8">
      <formula>IF($C$25=3,1,0)</formula>
    </cfRule>
  </conditionalFormatting>
  <conditionalFormatting sqref="L28:U29">
    <cfRule type="expression" dxfId="4" priority="5">
      <formula>IF($C$25=8,1,0)</formula>
    </cfRule>
  </conditionalFormatting>
  <conditionalFormatting sqref="A36:J36">
    <cfRule type="expression" dxfId="3" priority="4">
      <formula>IF($C$25=3,1,0)</formula>
    </cfRule>
  </conditionalFormatting>
  <conditionalFormatting sqref="A37:J37">
    <cfRule type="expression" dxfId="2" priority="3">
      <formula>IF($C$25=8,1,0)</formula>
    </cfRule>
  </conditionalFormatting>
  <conditionalFormatting sqref="L36:U36">
    <cfRule type="expression" dxfId="1" priority="2">
      <formula>IF($C$25=3,1,0)</formula>
    </cfRule>
  </conditionalFormatting>
  <conditionalFormatting sqref="L37:U37">
    <cfRule type="expression" dxfId="0" priority="1">
      <formula>IF($C$25=8,1,0)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44EF9-5567-44FD-8B08-F2EB8ED6A059}">
  <dimension ref="A1:N11"/>
  <sheetViews>
    <sheetView workbookViewId="0">
      <selection activeCell="C10" sqref="C10:D10"/>
    </sheetView>
  </sheetViews>
  <sheetFormatPr defaultRowHeight="15" x14ac:dyDescent="0.25"/>
  <cols>
    <col min="1" max="1" width="17.28515625" bestFit="1" customWidth="1"/>
    <col min="2" max="2" width="10.7109375" bestFit="1" customWidth="1"/>
    <col min="3" max="3" width="11.5703125" bestFit="1" customWidth="1"/>
    <col min="4" max="4" width="10.7109375" bestFit="1" customWidth="1"/>
    <col min="5" max="5" width="11.5703125" bestFit="1" customWidth="1"/>
    <col min="6" max="6" width="11.42578125" bestFit="1" customWidth="1"/>
    <col min="7" max="7" width="13.140625" bestFit="1" customWidth="1"/>
    <col min="8" max="8" width="14.85546875" customWidth="1"/>
    <col min="9" max="9" width="14.85546875" bestFit="1" customWidth="1"/>
    <col min="10" max="11" width="15.140625" customWidth="1"/>
    <col min="12" max="12" width="17.28515625" bestFit="1" customWidth="1"/>
    <col min="13" max="13" width="14.42578125" bestFit="1" customWidth="1"/>
  </cols>
  <sheetData>
    <row r="1" spans="1:14" x14ac:dyDescent="0.25">
      <c r="A1" s="123" t="str">
        <f>SlimFix!$D$11</f>
        <v>_Type</v>
      </c>
      <c r="B1" s="1" t="s">
        <v>5</v>
      </c>
      <c r="C1" s="1" t="s">
        <v>10</v>
      </c>
      <c r="D1" s="1" t="s">
        <v>11</v>
      </c>
      <c r="E1" s="1" t="s">
        <v>12</v>
      </c>
      <c r="F1" s="1" t="s">
        <v>37</v>
      </c>
      <c r="G1" s="1" t="s">
        <v>26</v>
      </c>
      <c r="H1" s="1" t="s">
        <v>182</v>
      </c>
      <c r="I1" s="1" t="s">
        <v>18</v>
      </c>
      <c r="J1" s="1" t="s">
        <v>183</v>
      </c>
      <c r="K1" s="1" t="s">
        <v>19</v>
      </c>
      <c r="L1" s="1" t="s">
        <v>20</v>
      </c>
      <c r="M1" s="1" t="s">
        <v>38</v>
      </c>
      <c r="N1" s="129" t="s">
        <v>184</v>
      </c>
    </row>
    <row r="2" spans="1:14" x14ac:dyDescent="0.25">
      <c r="A2" s="124" t="e">
        <f>IF(HLOOKUP($A$1,B1:M11,2)&gt;0,HLOOKUP($A$1,B1:M11,2)," ")</f>
        <v>#N/A</v>
      </c>
      <c r="B2" s="12">
        <v>2.5</v>
      </c>
      <c r="C2" s="12">
        <v>2.5</v>
      </c>
      <c r="D2" s="12">
        <v>2.5</v>
      </c>
      <c r="E2" s="12">
        <v>2.5</v>
      </c>
      <c r="F2" s="27" t="s">
        <v>29</v>
      </c>
      <c r="G2" s="12">
        <v>2.5</v>
      </c>
      <c r="H2" s="12">
        <v>3.5</v>
      </c>
      <c r="I2" s="12">
        <v>3.5</v>
      </c>
      <c r="J2" s="12">
        <v>3.5</v>
      </c>
      <c r="K2" s="12">
        <v>3.5</v>
      </c>
      <c r="L2" s="12">
        <v>8</v>
      </c>
      <c r="M2" s="27" t="s">
        <v>30</v>
      </c>
    </row>
    <row r="3" spans="1:14" x14ac:dyDescent="0.25">
      <c r="A3" s="124" t="e">
        <f>IF(HLOOKUP($A$1,$B$1:$M$11,3)&gt;0,HLOOKUP($A$1,$B$1:$M$11,3)," ")</f>
        <v>#N/A</v>
      </c>
      <c r="B3" s="12">
        <v>3</v>
      </c>
      <c r="C3" s="12">
        <v>3</v>
      </c>
      <c r="D3" s="12">
        <v>3</v>
      </c>
      <c r="E3" s="12">
        <v>3</v>
      </c>
      <c r="F3" s="27" t="s">
        <v>30</v>
      </c>
      <c r="G3" s="12">
        <v>3</v>
      </c>
      <c r="H3" s="12">
        <v>4</v>
      </c>
      <c r="I3" s="12">
        <v>4</v>
      </c>
      <c r="J3" s="12">
        <v>4</v>
      </c>
      <c r="K3" s="12">
        <v>4</v>
      </c>
      <c r="L3" s="12">
        <v>9</v>
      </c>
      <c r="M3" s="27" t="s">
        <v>31</v>
      </c>
    </row>
    <row r="4" spans="1:14" x14ac:dyDescent="0.25">
      <c r="A4" s="124" t="e">
        <f>IF(HLOOKUP($A$1,$B$1:$M$11,4)&gt;0,HLOOKUP($A$1,$B$1:$M$11,4)," ")</f>
        <v>#N/A</v>
      </c>
      <c r="B4" s="12">
        <v>3.5</v>
      </c>
      <c r="C4" s="12">
        <v>3.5</v>
      </c>
      <c r="D4" s="12">
        <v>3.5</v>
      </c>
      <c r="E4" s="12">
        <v>3.5</v>
      </c>
      <c r="F4" s="27" t="s">
        <v>31</v>
      </c>
      <c r="G4" s="12">
        <v>3.5</v>
      </c>
      <c r="H4" s="12">
        <v>4.5</v>
      </c>
      <c r="I4" s="12">
        <v>4.5</v>
      </c>
      <c r="J4" s="12">
        <v>4.5</v>
      </c>
      <c r="K4" s="12">
        <v>4.5</v>
      </c>
      <c r="L4" s="12">
        <v>10</v>
      </c>
      <c r="M4" s="27" t="s">
        <v>32</v>
      </c>
    </row>
    <row r="5" spans="1:14" x14ac:dyDescent="0.25">
      <c r="A5" s="124" t="e">
        <f>IF(HLOOKUP($A$1,$B$1:$M$11,5)&gt;0,HLOOKUP($A$1,$B$1:$M$11,5)," ")</f>
        <v>#N/A</v>
      </c>
      <c r="B5" s="12">
        <v>4</v>
      </c>
      <c r="C5" s="12">
        <v>4</v>
      </c>
      <c r="D5" s="12">
        <v>4</v>
      </c>
      <c r="E5" s="12">
        <v>4</v>
      </c>
      <c r="F5" s="27" t="s">
        <v>32</v>
      </c>
      <c r="G5" s="12">
        <v>4</v>
      </c>
      <c r="H5" s="12">
        <v>5</v>
      </c>
      <c r="I5" s="12">
        <v>5</v>
      </c>
      <c r="J5" s="12">
        <v>5</v>
      </c>
      <c r="K5" s="12">
        <v>5</v>
      </c>
      <c r="L5" s="12">
        <v>11</v>
      </c>
      <c r="M5" s="27" t="s">
        <v>33</v>
      </c>
    </row>
    <row r="6" spans="1:14" x14ac:dyDescent="0.25">
      <c r="A6" s="124" t="e">
        <f>IF(HLOOKUP($A$1,$B$1:$M$11,6)&gt;0,HLOOKUP($A$1,$B$1:$M$11,6)," ")</f>
        <v>#N/A</v>
      </c>
      <c r="B6" s="12">
        <v>4.5</v>
      </c>
      <c r="C6" s="12">
        <v>4.5</v>
      </c>
      <c r="D6" s="12">
        <v>4.5</v>
      </c>
      <c r="E6" s="12">
        <v>4.5</v>
      </c>
      <c r="F6" s="27" t="s">
        <v>33</v>
      </c>
      <c r="G6" s="12">
        <v>4.5</v>
      </c>
      <c r="H6" s="12">
        <v>5.5</v>
      </c>
      <c r="I6" s="12">
        <v>5.5</v>
      </c>
      <c r="J6" s="12">
        <v>5.5</v>
      </c>
      <c r="K6" s="12">
        <v>5.5</v>
      </c>
      <c r="L6" s="12">
        <v>12</v>
      </c>
      <c r="M6" s="27" t="s">
        <v>34</v>
      </c>
    </row>
    <row r="7" spans="1:14" x14ac:dyDescent="0.25">
      <c r="A7" s="124" t="e">
        <f>IF(HLOOKUP($A$1,$B$1:$M$11,7)&gt;0,HLOOKUP($A$1,$B$1:$M$11,7)," ")</f>
        <v>#N/A</v>
      </c>
      <c r="B7" s="12">
        <v>5</v>
      </c>
      <c r="C7" s="12">
        <v>5</v>
      </c>
      <c r="D7" s="12">
        <v>5</v>
      </c>
      <c r="E7" s="12">
        <v>5</v>
      </c>
      <c r="F7" s="27" t="s">
        <v>34</v>
      </c>
      <c r="G7" s="12">
        <v>5</v>
      </c>
      <c r="H7" s="12">
        <v>6</v>
      </c>
      <c r="I7" s="12">
        <v>6</v>
      </c>
      <c r="J7" s="12">
        <v>6</v>
      </c>
      <c r="K7" s="12">
        <v>6</v>
      </c>
      <c r="L7" s="27"/>
      <c r="M7" s="27" t="s">
        <v>35</v>
      </c>
    </row>
    <row r="8" spans="1:14" x14ac:dyDescent="0.25">
      <c r="A8" s="124" t="e">
        <f>IF(HLOOKUP($A$1,$B$1:$M$11,8)&gt;0,HLOOKUP($A$1,$B$1:$M$11,8)," ")</f>
        <v>#N/A</v>
      </c>
      <c r="B8" s="12">
        <v>5.5</v>
      </c>
      <c r="C8" s="12">
        <v>5.5</v>
      </c>
      <c r="D8" s="12">
        <v>5.5</v>
      </c>
      <c r="E8" s="12">
        <v>5.5</v>
      </c>
      <c r="F8" s="27" t="s">
        <v>35</v>
      </c>
      <c r="G8" s="12">
        <v>5.5</v>
      </c>
      <c r="H8" s="12">
        <v>6.3</v>
      </c>
      <c r="I8" s="12">
        <v>6.3</v>
      </c>
      <c r="J8" s="12">
        <v>6.3</v>
      </c>
      <c r="K8" s="12">
        <v>6.3</v>
      </c>
      <c r="L8" s="27"/>
      <c r="M8" s="27" t="s">
        <v>36</v>
      </c>
    </row>
    <row r="9" spans="1:14" x14ac:dyDescent="0.25">
      <c r="A9" s="124" t="e">
        <f>IF(HLOOKUP($A$1,$B$1:$M$11,9)&gt;0,HLOOKUP($A$1,$B$1:$M$11,9)," ")</f>
        <v>#N/A</v>
      </c>
      <c r="B9" s="12">
        <v>6</v>
      </c>
      <c r="C9" s="12">
        <v>6</v>
      </c>
      <c r="D9" s="12">
        <v>6</v>
      </c>
      <c r="E9" s="12">
        <v>6</v>
      </c>
      <c r="F9" s="27" t="s">
        <v>36</v>
      </c>
      <c r="G9" s="12">
        <v>6</v>
      </c>
      <c r="H9" s="12">
        <v>7</v>
      </c>
      <c r="I9" s="12">
        <v>7</v>
      </c>
      <c r="J9" s="12">
        <v>7</v>
      </c>
      <c r="K9" s="12">
        <v>7</v>
      </c>
      <c r="L9" s="27"/>
      <c r="M9" s="27"/>
    </row>
    <row r="10" spans="1:14" x14ac:dyDescent="0.25">
      <c r="A10" s="124" t="e">
        <f>IF(HLOOKUP($A$1,$B$1:$M$11,10)&gt;0,HLOOKUP($A$1,$B$1:$M$11,10)," ")</f>
        <v>#N/A</v>
      </c>
      <c r="B10" s="12">
        <v>6.3</v>
      </c>
      <c r="C10" s="12">
        <v>6.3</v>
      </c>
      <c r="D10" s="12">
        <v>6.3</v>
      </c>
      <c r="E10" s="12">
        <v>6.3</v>
      </c>
      <c r="F10" s="27"/>
      <c r="G10" s="12">
        <v>6.3</v>
      </c>
      <c r="H10" s="12"/>
      <c r="I10" s="12"/>
      <c r="J10" s="27"/>
      <c r="K10" s="27"/>
      <c r="L10" s="27"/>
      <c r="M10" s="27"/>
    </row>
    <row r="11" spans="1:14" x14ac:dyDescent="0.25">
      <c r="A11" s="124" t="e">
        <f>IF(HLOOKUP($A$1,$B$1:$M$11,11)&gt;0,HLOOKUP($A$1,$B$1:$M$11,11)," ")</f>
        <v>#N/A</v>
      </c>
      <c r="B11" s="12">
        <v>7</v>
      </c>
      <c r="C11" s="12">
        <v>7</v>
      </c>
      <c r="D11" s="12">
        <v>7</v>
      </c>
      <c r="E11" s="12">
        <v>7</v>
      </c>
      <c r="F11" s="27"/>
      <c r="G11" s="12">
        <v>7</v>
      </c>
      <c r="H11" s="12"/>
      <c r="I11" s="12"/>
      <c r="J11" s="27"/>
      <c r="K11" s="27"/>
      <c r="L11" s="27"/>
      <c r="M11" s="27"/>
    </row>
  </sheetData>
  <sortState xmlns:xlrd2="http://schemas.microsoft.com/office/spreadsheetml/2017/richdata2" ref="A1:G11">
    <sortCondition descending="1" ref="G4:G1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32"/>
  <sheetViews>
    <sheetView workbookViewId="0">
      <pane xSplit="2" ySplit="4" topLeftCell="K116" activePane="bottomRight" state="frozen"/>
      <selection activeCell="O42" sqref="O42"/>
      <selection pane="topRight" activeCell="O42" sqref="O42"/>
      <selection pane="bottomLeft" activeCell="O42" sqref="O42"/>
      <selection pane="bottomRight" activeCell="O42" sqref="O42"/>
    </sheetView>
  </sheetViews>
  <sheetFormatPr defaultRowHeight="15" x14ac:dyDescent="0.25"/>
  <cols>
    <col min="1" max="1" width="17.28515625" bestFit="1" customWidth="1"/>
    <col min="2" max="2" width="10.5703125" bestFit="1" customWidth="1"/>
    <col min="3" max="3" width="21.140625" bestFit="1" customWidth="1"/>
    <col min="4" max="4" width="11.7109375" bestFit="1" customWidth="1"/>
    <col min="5" max="5" width="10.28515625" bestFit="1" customWidth="1"/>
    <col min="6" max="6" width="31.85546875" bestFit="1" customWidth="1"/>
    <col min="7" max="7" width="11.28515625" bestFit="1" customWidth="1"/>
    <col min="8" max="9" width="16" bestFit="1" customWidth="1"/>
    <col min="10" max="10" width="15.140625" bestFit="1" customWidth="1"/>
    <col min="11" max="11" width="15.85546875" bestFit="1" customWidth="1"/>
    <col min="12" max="12" width="11.28515625" bestFit="1" customWidth="1"/>
    <col min="13" max="14" width="12.28515625" customWidth="1"/>
    <col min="15" max="15" width="14" bestFit="1" customWidth="1"/>
    <col min="16" max="16" width="14" customWidth="1"/>
    <col min="17" max="17" width="3.140625" customWidth="1"/>
    <col min="18" max="18" width="14.7109375" bestFit="1" customWidth="1"/>
    <col min="19" max="19" width="16.140625" bestFit="1" customWidth="1"/>
    <col min="20" max="20" width="14.7109375" bestFit="1" customWidth="1"/>
    <col min="21" max="22" width="16.140625" bestFit="1" customWidth="1"/>
    <col min="23" max="23" width="15.140625" bestFit="1" customWidth="1"/>
    <col min="24" max="24" width="53.5703125" bestFit="1" customWidth="1"/>
    <col min="25" max="25" width="6.42578125" bestFit="1" customWidth="1"/>
    <col min="26" max="26" width="52.5703125" bestFit="1" customWidth="1"/>
  </cols>
  <sheetData>
    <row r="1" spans="1:34" x14ac:dyDescent="0.25">
      <c r="A1" s="215" t="s">
        <v>6</v>
      </c>
      <c r="B1" s="216"/>
      <c r="C1" s="216"/>
      <c r="D1" s="216"/>
      <c r="E1" s="216"/>
      <c r="F1" s="89"/>
      <c r="G1" s="92"/>
      <c r="H1" s="92"/>
      <c r="I1" s="92"/>
      <c r="J1" s="92"/>
      <c r="K1" s="90"/>
      <c r="L1" s="90"/>
      <c r="M1" s="90"/>
      <c r="N1" s="90"/>
      <c r="O1" s="90"/>
      <c r="P1" s="90"/>
      <c r="R1" s="217" t="s">
        <v>166</v>
      </c>
      <c r="S1" s="218"/>
      <c r="T1" s="218"/>
      <c r="U1" s="218"/>
      <c r="V1" s="227"/>
    </row>
    <row r="2" spans="1:34" x14ac:dyDescent="0.25">
      <c r="A2" s="217"/>
      <c r="B2" s="218"/>
      <c r="C2" s="218"/>
      <c r="D2" s="218"/>
      <c r="E2" s="218"/>
      <c r="F2" s="225" t="s">
        <v>9</v>
      </c>
      <c r="G2" s="196"/>
      <c r="H2" s="196"/>
      <c r="I2" s="196"/>
      <c r="J2" s="196"/>
      <c r="K2" s="226" t="s">
        <v>155</v>
      </c>
      <c r="L2" s="196"/>
      <c r="M2" s="196"/>
      <c r="N2" s="196"/>
      <c r="O2" s="196"/>
      <c r="P2" s="196"/>
      <c r="R2" s="228"/>
      <c r="S2" s="229"/>
      <c r="T2" s="229"/>
      <c r="U2" s="229"/>
      <c r="V2" s="229"/>
    </row>
    <row r="3" spans="1:34" x14ac:dyDescent="0.25">
      <c r="A3" s="219"/>
      <c r="B3" s="220"/>
      <c r="C3" s="220"/>
      <c r="D3" s="220"/>
      <c r="E3" s="220"/>
      <c r="F3" s="92"/>
      <c r="G3" s="92"/>
      <c r="H3" s="92" t="s">
        <v>160</v>
      </c>
      <c r="I3" s="92" t="s">
        <v>162</v>
      </c>
      <c r="J3" s="92"/>
      <c r="K3" s="223"/>
      <c r="L3" s="223"/>
      <c r="M3" s="224"/>
      <c r="N3" s="92" t="s">
        <v>160</v>
      </c>
      <c r="O3" s="92" t="s">
        <v>162</v>
      </c>
      <c r="P3" s="97"/>
      <c r="R3" s="221" t="s">
        <v>48</v>
      </c>
      <c r="S3" s="222"/>
      <c r="T3" s="221" t="s">
        <v>49</v>
      </c>
      <c r="U3" s="222"/>
      <c r="V3" s="99" t="s">
        <v>47</v>
      </c>
      <c r="W3" s="99" t="s">
        <v>167</v>
      </c>
    </row>
    <row r="4" spans="1:34" x14ac:dyDescent="0.25">
      <c r="A4" s="3" t="s">
        <v>0</v>
      </c>
      <c r="B4" s="3" t="s">
        <v>4</v>
      </c>
      <c r="C4" s="3" t="s">
        <v>117</v>
      </c>
      <c r="D4" s="3" t="s">
        <v>61</v>
      </c>
      <c r="E4" s="3" t="s">
        <v>60</v>
      </c>
      <c r="F4" s="92" t="s">
        <v>0</v>
      </c>
      <c r="G4" s="91" t="s">
        <v>156</v>
      </c>
      <c r="H4" s="91" t="s">
        <v>161</v>
      </c>
      <c r="I4" s="91" t="s">
        <v>161</v>
      </c>
      <c r="J4" s="91" t="s">
        <v>159</v>
      </c>
      <c r="K4" s="93"/>
      <c r="L4" s="91" t="s">
        <v>156</v>
      </c>
      <c r="M4" s="91" t="s">
        <v>121</v>
      </c>
      <c r="N4" s="91" t="s">
        <v>157</v>
      </c>
      <c r="O4" s="91" t="s">
        <v>157</v>
      </c>
      <c r="P4" s="91" t="s">
        <v>158</v>
      </c>
      <c r="R4" s="15" t="s">
        <v>0</v>
      </c>
      <c r="S4" s="15" t="s">
        <v>163</v>
      </c>
      <c r="T4" s="15" t="s">
        <v>0</v>
      </c>
      <c r="U4" s="26" t="s">
        <v>163</v>
      </c>
      <c r="V4" s="95" t="s">
        <v>163</v>
      </c>
      <c r="W4" s="95" t="s">
        <v>168</v>
      </c>
      <c r="Y4" s="110" t="s">
        <v>2</v>
      </c>
    </row>
    <row r="5" spans="1:34" x14ac:dyDescent="0.25">
      <c r="A5" s="1" t="s">
        <v>5</v>
      </c>
      <c r="B5" s="2">
        <v>2.5</v>
      </c>
      <c r="C5" s="86" t="str">
        <f t="shared" ref="C5:C36" si="0">A5&amp;" "&amp;B5</f>
        <v>SlimFix 3/3 2,5</v>
      </c>
      <c r="D5" s="7">
        <v>3</v>
      </c>
      <c r="E5" s="10">
        <v>6.5</v>
      </c>
      <c r="F5" s="7" t="s">
        <v>123</v>
      </c>
      <c r="G5" s="7">
        <v>100</v>
      </c>
      <c r="H5" s="94">
        <f>CEILING(SlimFix!$D$32*SlimFix!$J$44/1020,1)</f>
        <v>0</v>
      </c>
      <c r="I5" s="94">
        <f>CEILING(SlimFix!$D$50*SlimFix!$J$57/1020,1)</f>
        <v>0</v>
      </c>
      <c r="J5" s="7">
        <f>((H5*SlimFix!$D$35)+(I5*SlimFix!$D$52))*3</f>
        <v>0</v>
      </c>
      <c r="K5" s="5" t="s">
        <v>123</v>
      </c>
      <c r="L5" s="5">
        <v>100</v>
      </c>
      <c r="M5" s="5">
        <v>6</v>
      </c>
      <c r="N5" s="5" t="e">
        <f>IF(calcu!$I$26&lt;=0,0,calcu!$I$26)</f>
        <v>#N/A</v>
      </c>
      <c r="O5" s="5" t="e">
        <f>IF(OR(I5=0,calcu!$T$26&lt;=0),0,calcu!$T$26)</f>
        <v>#N/A</v>
      </c>
      <c r="P5" s="5" t="e">
        <f>(H5*N5)+(I5*O5)</f>
        <v>#N/A</v>
      </c>
      <c r="R5" s="13" t="str">
        <f>F5</f>
        <v>Schroef 160xØ6</v>
      </c>
      <c r="S5" s="7" t="e">
        <f>CEILING((J5+P5)/G5,1)</f>
        <v>#N/A</v>
      </c>
      <c r="T5" s="9"/>
      <c r="U5" s="10"/>
      <c r="V5" s="96" t="e">
        <f>CEILING(P5/100,1)</f>
        <v>#N/A</v>
      </c>
      <c r="W5" s="4">
        <f>CEILING((H5*(SlimFix!$J$32/1000))+(I5*(SlimFix!$J$50/1000)),1)</f>
        <v>0</v>
      </c>
      <c r="X5" t="s">
        <v>191</v>
      </c>
      <c r="Y5" s="109">
        <v>3</v>
      </c>
      <c r="Z5" t="s">
        <v>195</v>
      </c>
      <c r="AB5" t="e">
        <f>VLOOKUP($AB$4,A5:B106,2)</f>
        <v>#N/A</v>
      </c>
      <c r="AD5" s="122">
        <v>2.5</v>
      </c>
      <c r="AE5" s="122">
        <v>2.5</v>
      </c>
      <c r="AF5" s="122">
        <v>2.5</v>
      </c>
      <c r="AG5" s="122">
        <v>2.5</v>
      </c>
      <c r="AH5" t="s">
        <v>29</v>
      </c>
    </row>
    <row r="6" spans="1:34" x14ac:dyDescent="0.25">
      <c r="A6" s="1" t="s">
        <v>5</v>
      </c>
      <c r="B6" s="12">
        <v>3</v>
      </c>
      <c r="C6" s="86" t="str">
        <f t="shared" si="0"/>
        <v>SlimFix 3/3 3</v>
      </c>
      <c r="D6" s="7">
        <v>3</v>
      </c>
      <c r="E6" s="10">
        <v>7</v>
      </c>
      <c r="F6" s="7" t="s">
        <v>123</v>
      </c>
      <c r="G6" s="7">
        <v>100</v>
      </c>
      <c r="H6" s="94">
        <f>CEILING(SlimFix!$D$32*SlimFix!$J$44/1020,1)</f>
        <v>0</v>
      </c>
      <c r="I6" s="94">
        <f>CEILING(SlimFix!$D$50*SlimFix!$J$57/1020,1)</f>
        <v>0</v>
      </c>
      <c r="J6" s="7">
        <f>((H6*SlimFix!$D$35)+(I6*SlimFix!$D$52))*3</f>
        <v>0</v>
      </c>
      <c r="K6" s="5" t="s">
        <v>123</v>
      </c>
      <c r="L6" s="5">
        <v>100</v>
      </c>
      <c r="M6" s="5">
        <v>6</v>
      </c>
      <c r="N6" s="5" t="e">
        <f>IF(calcu!$I$26&lt;=0,0,calcu!$I$26)</f>
        <v>#N/A</v>
      </c>
      <c r="O6" s="5" t="e">
        <f>IF(OR(I6=0,calcu!$T$26&lt;=0),0,calcu!$T$26)</f>
        <v>#N/A</v>
      </c>
      <c r="P6" s="5" t="e">
        <f t="shared" ref="P6:P44" si="1">(H6*N6)+(I6*O6)</f>
        <v>#N/A</v>
      </c>
      <c r="R6" s="13" t="str">
        <f t="shared" ref="R6:R62" si="2">F6</f>
        <v>Schroef 160xØ6</v>
      </c>
      <c r="S6" s="7" t="e">
        <f>CEILING((J6+P6)/G6,1)</f>
        <v>#N/A</v>
      </c>
      <c r="T6" s="9"/>
      <c r="U6" s="10"/>
      <c r="V6" s="96" t="e">
        <f t="shared" ref="V6:V23" si="3">CEILING(P6/100,1)</f>
        <v>#N/A</v>
      </c>
      <c r="W6" s="4">
        <f>CEILING((H6*(SlimFix!$J$32/1000))+(I6*(SlimFix!$J$50/1000)),1)</f>
        <v>0</v>
      </c>
      <c r="X6" t="s">
        <v>191</v>
      </c>
      <c r="Y6" s="109">
        <v>3</v>
      </c>
      <c r="Z6" t="s">
        <v>195</v>
      </c>
      <c r="AD6" s="122">
        <v>3</v>
      </c>
      <c r="AE6" s="122">
        <v>3</v>
      </c>
      <c r="AF6" s="122">
        <v>3</v>
      </c>
      <c r="AG6" s="122">
        <v>3</v>
      </c>
      <c r="AH6" t="s">
        <v>30</v>
      </c>
    </row>
    <row r="7" spans="1:34" x14ac:dyDescent="0.25">
      <c r="A7" s="1" t="s">
        <v>5</v>
      </c>
      <c r="B7" s="12">
        <v>3.5</v>
      </c>
      <c r="C7" s="86" t="str">
        <f t="shared" si="0"/>
        <v>SlimFix 3/3 3,5</v>
      </c>
      <c r="D7" s="7">
        <v>3</v>
      </c>
      <c r="E7" s="10">
        <v>7</v>
      </c>
      <c r="F7" s="7" t="s">
        <v>124</v>
      </c>
      <c r="G7" s="7">
        <v>100</v>
      </c>
      <c r="H7" s="94">
        <f>CEILING(SlimFix!$D$32*SlimFix!$J$44/1020,1)</f>
        <v>0</v>
      </c>
      <c r="I7" s="94">
        <f>CEILING(SlimFix!$D$50*SlimFix!$J$57/1020,1)</f>
        <v>0</v>
      </c>
      <c r="J7" s="7">
        <f>((H7*SlimFix!$D$35)+(I7*SlimFix!$D$52))*3</f>
        <v>0</v>
      </c>
      <c r="K7" s="5" t="s">
        <v>124</v>
      </c>
      <c r="L7" s="5">
        <v>100</v>
      </c>
      <c r="M7" s="5">
        <v>6</v>
      </c>
      <c r="N7" s="5" t="e">
        <f>IF(calcu!$I$26&lt;=0,0,calcu!$I$26)</f>
        <v>#N/A</v>
      </c>
      <c r="O7" s="5" t="e">
        <f>IF(OR(I7=0,calcu!$T$26&lt;=0),0,calcu!$T$26)</f>
        <v>#N/A</v>
      </c>
      <c r="P7" s="5" t="e">
        <f t="shared" si="1"/>
        <v>#N/A</v>
      </c>
      <c r="R7" s="13" t="str">
        <f t="shared" si="2"/>
        <v>Schroef 180xØ6</v>
      </c>
      <c r="S7" s="7" t="e">
        <f>CEILING((J7+P7)/G7,1)</f>
        <v>#N/A</v>
      </c>
      <c r="T7" s="9"/>
      <c r="U7" s="10"/>
      <c r="V7" s="96" t="e">
        <f t="shared" si="3"/>
        <v>#N/A</v>
      </c>
      <c r="W7" s="4">
        <f>CEILING((H7*(SlimFix!$J$32/1000))+(I7*(SlimFix!$J$50/1000)),1)</f>
        <v>0</v>
      </c>
      <c r="X7" t="s">
        <v>191</v>
      </c>
      <c r="Y7" s="109">
        <v>3</v>
      </c>
      <c r="Z7" t="s">
        <v>195</v>
      </c>
      <c r="AD7" s="122">
        <v>3.5</v>
      </c>
      <c r="AE7" s="122">
        <v>3.5</v>
      </c>
      <c r="AF7" s="122">
        <v>3.5</v>
      </c>
      <c r="AG7" s="122">
        <v>3.5</v>
      </c>
      <c r="AH7" t="s">
        <v>31</v>
      </c>
    </row>
    <row r="8" spans="1:34" x14ac:dyDescent="0.25">
      <c r="A8" s="1" t="s">
        <v>5</v>
      </c>
      <c r="B8" s="12">
        <v>4</v>
      </c>
      <c r="C8" s="86" t="str">
        <f t="shared" si="0"/>
        <v>SlimFix 3/3 4</v>
      </c>
      <c r="D8" s="7">
        <v>3</v>
      </c>
      <c r="E8" s="10">
        <v>7.5</v>
      </c>
      <c r="F8" s="7" t="s">
        <v>125</v>
      </c>
      <c r="G8" s="7">
        <v>100</v>
      </c>
      <c r="H8" s="94">
        <f>CEILING(SlimFix!$D$32*SlimFix!$J$44/1020,1)</f>
        <v>0</v>
      </c>
      <c r="I8" s="94">
        <f>CEILING(SlimFix!$D$50*SlimFix!$J$57/1020,1)</f>
        <v>0</v>
      </c>
      <c r="J8" s="7">
        <f>((H8*SlimFix!$D$35)+(I8*SlimFix!$D$52))*3</f>
        <v>0</v>
      </c>
      <c r="K8" s="5" t="s">
        <v>148</v>
      </c>
      <c r="L8" s="5">
        <v>50</v>
      </c>
      <c r="M8" s="5">
        <v>8</v>
      </c>
      <c r="N8" s="5" t="e">
        <f>IF(calcu!$I$27&lt;=0,0,calcu!$I$27)</f>
        <v>#N/A</v>
      </c>
      <c r="O8" s="5" t="e">
        <f>IF(OR(I8=0,calcu!$T$27&lt;=0),0,calcu!$T$27)</f>
        <v>#N/A</v>
      </c>
      <c r="P8" s="5" t="e">
        <f t="shared" si="1"/>
        <v>#N/A</v>
      </c>
      <c r="R8" s="13" t="str">
        <f t="shared" si="2"/>
        <v>Schroef 200xØ6</v>
      </c>
      <c r="S8" s="7">
        <f>CEILING(J8/G8,1)</f>
        <v>0</v>
      </c>
      <c r="T8" s="6" t="str">
        <f>K8</f>
        <v>Schroef 200xØ8</v>
      </c>
      <c r="U8" s="5" t="e">
        <f>CEILING(P8/L8,1)</f>
        <v>#N/A</v>
      </c>
      <c r="V8" s="96" t="e">
        <f t="shared" si="3"/>
        <v>#N/A</v>
      </c>
      <c r="W8" s="4">
        <f>CEILING((H8*(SlimFix!$J$32/1000))+(I8*(SlimFix!$J$50/1000)),1)</f>
        <v>0</v>
      </c>
      <c r="X8" t="s">
        <v>191</v>
      </c>
      <c r="Y8" s="109">
        <v>3</v>
      </c>
      <c r="Z8" t="s">
        <v>195</v>
      </c>
      <c r="AD8" s="122">
        <v>4</v>
      </c>
      <c r="AE8" s="122">
        <v>4</v>
      </c>
      <c r="AF8" s="122">
        <v>4</v>
      </c>
      <c r="AG8" s="122">
        <v>4</v>
      </c>
      <c r="AH8" t="s">
        <v>32</v>
      </c>
    </row>
    <row r="9" spans="1:34" x14ac:dyDescent="0.25">
      <c r="A9" s="1" t="s">
        <v>5</v>
      </c>
      <c r="B9" s="12">
        <v>4.5</v>
      </c>
      <c r="C9" s="86" t="str">
        <f t="shared" si="0"/>
        <v>SlimFix 3/3 4,5</v>
      </c>
      <c r="D9" s="7">
        <v>3</v>
      </c>
      <c r="E9" s="10">
        <v>8</v>
      </c>
      <c r="F9" s="7" t="s">
        <v>126</v>
      </c>
      <c r="G9" s="7">
        <v>100</v>
      </c>
      <c r="H9" s="94">
        <f>CEILING(SlimFix!$D$32*SlimFix!$J$44/1020,1)</f>
        <v>0</v>
      </c>
      <c r="I9" s="94">
        <f>CEILING(SlimFix!$D$50*SlimFix!$J$57/1020,1)</f>
        <v>0</v>
      </c>
      <c r="J9" s="7">
        <f>((H9*SlimFix!$D$35)+(I9*SlimFix!$D$52))*3</f>
        <v>0</v>
      </c>
      <c r="K9" s="5" t="s">
        <v>148</v>
      </c>
      <c r="L9" s="5">
        <v>50</v>
      </c>
      <c r="M9" s="5">
        <v>8</v>
      </c>
      <c r="N9" s="5" t="e">
        <f>IF(calcu!$I$27&lt;=0,0,calcu!$I$27)</f>
        <v>#N/A</v>
      </c>
      <c r="O9" s="5" t="e">
        <f>IF(OR(I9=0,calcu!$T$27&lt;=0),0,calcu!$T$27)</f>
        <v>#N/A</v>
      </c>
      <c r="P9" s="5" t="e">
        <f t="shared" si="1"/>
        <v>#N/A</v>
      </c>
      <c r="R9" s="13" t="str">
        <f t="shared" si="2"/>
        <v>Schroef 220xØ6</v>
      </c>
      <c r="S9" s="7">
        <f t="shared" ref="S9:S14" si="4">CEILING(J9/G9,1)</f>
        <v>0</v>
      </c>
      <c r="T9" s="6" t="str">
        <f t="shared" ref="T9:T14" si="5">K9</f>
        <v>Schroef 200xØ8</v>
      </c>
      <c r="U9" s="5" t="e">
        <f t="shared" ref="U9:U14" si="6">CEILING(P9/L9,1)</f>
        <v>#N/A</v>
      </c>
      <c r="V9" s="96" t="e">
        <f t="shared" si="3"/>
        <v>#N/A</v>
      </c>
      <c r="W9" s="4">
        <f>CEILING((H9*(SlimFix!$J$32/1000))+(I9*(SlimFix!$J$50/1000)),1)</f>
        <v>0</v>
      </c>
      <c r="X9" t="s">
        <v>191</v>
      </c>
      <c r="Y9" s="109">
        <v>3</v>
      </c>
      <c r="Z9" t="s">
        <v>195</v>
      </c>
      <c r="AD9" s="122">
        <v>4.5</v>
      </c>
      <c r="AE9" s="122">
        <v>4.5</v>
      </c>
      <c r="AF9" s="122">
        <v>4.5</v>
      </c>
      <c r="AG9" s="122">
        <v>4.5</v>
      </c>
      <c r="AH9" t="s">
        <v>33</v>
      </c>
    </row>
    <row r="10" spans="1:34" x14ac:dyDescent="0.25">
      <c r="A10" s="1" t="s">
        <v>5</v>
      </c>
      <c r="B10" s="12">
        <v>5</v>
      </c>
      <c r="C10" s="86" t="str">
        <f t="shared" si="0"/>
        <v>SlimFix 3/3 5</v>
      </c>
      <c r="D10" s="7">
        <v>3</v>
      </c>
      <c r="E10" s="10">
        <v>9</v>
      </c>
      <c r="F10" s="7" t="s">
        <v>127</v>
      </c>
      <c r="G10" s="7">
        <v>100</v>
      </c>
      <c r="H10" s="94">
        <f>CEILING(SlimFix!$D$32*SlimFix!$J$44/1020,1)</f>
        <v>0</v>
      </c>
      <c r="I10" s="94">
        <f>CEILING(SlimFix!$D$50*SlimFix!$J$57/1020,1)</f>
        <v>0</v>
      </c>
      <c r="J10" s="7">
        <f>((H10*SlimFix!$D$35)+(I10*SlimFix!$D$52))*3</f>
        <v>0</v>
      </c>
      <c r="K10" s="5" t="s">
        <v>149</v>
      </c>
      <c r="L10" s="5">
        <v>50</v>
      </c>
      <c r="M10" s="5">
        <v>8</v>
      </c>
      <c r="N10" s="5" t="e">
        <f>IF(calcu!$I$27&lt;=0,0,calcu!$I$27)</f>
        <v>#N/A</v>
      </c>
      <c r="O10" s="5" t="e">
        <f>IF(OR(I10=0,calcu!$T$27&lt;=0),0,calcu!$T$27)</f>
        <v>#N/A</v>
      </c>
      <c r="P10" s="5" t="e">
        <f t="shared" si="1"/>
        <v>#N/A</v>
      </c>
      <c r="R10" s="13" t="str">
        <f t="shared" si="2"/>
        <v>Schroef 240xØ6</v>
      </c>
      <c r="S10" s="7">
        <f t="shared" si="4"/>
        <v>0</v>
      </c>
      <c r="T10" s="6" t="str">
        <f t="shared" si="5"/>
        <v>Schroef 240xØ8</v>
      </c>
      <c r="U10" s="5" t="e">
        <f t="shared" si="6"/>
        <v>#N/A</v>
      </c>
      <c r="V10" s="96" t="e">
        <f t="shared" si="3"/>
        <v>#N/A</v>
      </c>
      <c r="W10" s="4">
        <f>CEILING((H10*(SlimFix!$J$32/1000))+(I10*(SlimFix!$J$50/1000)),1)</f>
        <v>0</v>
      </c>
      <c r="X10" t="s">
        <v>191</v>
      </c>
      <c r="Y10" s="109">
        <v>3</v>
      </c>
      <c r="Z10" t="s">
        <v>195</v>
      </c>
      <c r="AD10" s="122">
        <v>5</v>
      </c>
      <c r="AE10" s="122">
        <v>5</v>
      </c>
      <c r="AF10" s="122">
        <v>5</v>
      </c>
      <c r="AG10" s="122">
        <v>5</v>
      </c>
      <c r="AH10" t="s">
        <v>34</v>
      </c>
    </row>
    <row r="11" spans="1:34" x14ac:dyDescent="0.25">
      <c r="A11" s="1" t="s">
        <v>5</v>
      </c>
      <c r="B11" s="12">
        <v>5.5</v>
      </c>
      <c r="C11" s="86" t="str">
        <f t="shared" si="0"/>
        <v>SlimFix 3/3 5,5</v>
      </c>
      <c r="D11" s="7">
        <v>3</v>
      </c>
      <c r="E11" s="10">
        <v>9</v>
      </c>
      <c r="F11" s="7" t="s">
        <v>128</v>
      </c>
      <c r="G11" s="7">
        <v>100</v>
      </c>
      <c r="H11" s="94">
        <f>CEILING(SlimFix!$D$32*SlimFix!$J$44/1020,1)</f>
        <v>0</v>
      </c>
      <c r="I11" s="94">
        <f>CEILING(SlimFix!$D$50*SlimFix!$J$57/1020,1)</f>
        <v>0</v>
      </c>
      <c r="J11" s="7">
        <f>((H11*SlimFix!$D$35)+(I11*SlimFix!$D$52))*3</f>
        <v>0</v>
      </c>
      <c r="K11" s="5" t="s">
        <v>149</v>
      </c>
      <c r="L11" s="5">
        <v>50</v>
      </c>
      <c r="M11" s="5">
        <v>8</v>
      </c>
      <c r="N11" s="5" t="e">
        <f>IF(calcu!$I$27&lt;=0,0,calcu!$I$27)</f>
        <v>#N/A</v>
      </c>
      <c r="O11" s="5" t="e">
        <f>IF(OR(I11=0,calcu!$T$27&lt;=0),0,calcu!$T$27)</f>
        <v>#N/A</v>
      </c>
      <c r="P11" s="5" t="e">
        <f t="shared" si="1"/>
        <v>#N/A</v>
      </c>
      <c r="R11" s="13" t="str">
        <f t="shared" si="2"/>
        <v>Schroef 260xØ6</v>
      </c>
      <c r="S11" s="7">
        <f t="shared" si="4"/>
        <v>0</v>
      </c>
      <c r="T11" s="6" t="str">
        <f t="shared" si="5"/>
        <v>Schroef 240xØ8</v>
      </c>
      <c r="U11" s="5" t="e">
        <f t="shared" si="6"/>
        <v>#N/A</v>
      </c>
      <c r="V11" s="96" t="e">
        <f t="shared" si="3"/>
        <v>#N/A</v>
      </c>
      <c r="W11" s="4">
        <f>CEILING((H11*(SlimFix!$J$32/1000))+(I11*(SlimFix!$J$50/1000)),1)</f>
        <v>0</v>
      </c>
      <c r="X11" t="s">
        <v>191</v>
      </c>
      <c r="Y11" s="109">
        <v>3</v>
      </c>
      <c r="Z11" t="s">
        <v>195</v>
      </c>
      <c r="AD11" s="122">
        <v>5.5</v>
      </c>
      <c r="AE11" s="122">
        <v>5.5</v>
      </c>
      <c r="AF11" s="122">
        <v>5.5</v>
      </c>
      <c r="AG11" s="122">
        <v>5.5</v>
      </c>
      <c r="AH11" t="s">
        <v>35</v>
      </c>
    </row>
    <row r="12" spans="1:34" x14ac:dyDescent="0.25">
      <c r="A12" s="1" t="s">
        <v>5</v>
      </c>
      <c r="B12" s="12">
        <v>6</v>
      </c>
      <c r="C12" s="86" t="str">
        <f t="shared" si="0"/>
        <v>SlimFix 3/3 6</v>
      </c>
      <c r="D12" s="7">
        <v>3</v>
      </c>
      <c r="E12" s="10">
        <v>9</v>
      </c>
      <c r="F12" s="7" t="s">
        <v>129</v>
      </c>
      <c r="G12" s="7">
        <v>100</v>
      </c>
      <c r="H12" s="94">
        <f>CEILING(SlimFix!$D$32*SlimFix!$J$44/1020,1)</f>
        <v>0</v>
      </c>
      <c r="I12" s="94">
        <f>CEILING(SlimFix!$D$50*SlimFix!$J$57/1020,1)</f>
        <v>0</v>
      </c>
      <c r="J12" s="7">
        <f>((H12*SlimFix!$D$35)+(I12*SlimFix!$D$52))*3</f>
        <v>0</v>
      </c>
      <c r="K12" s="5" t="s">
        <v>150</v>
      </c>
      <c r="L12" s="5">
        <v>50</v>
      </c>
      <c r="M12" s="5">
        <v>8</v>
      </c>
      <c r="N12" s="5" t="e">
        <f>IF(calcu!$I$27&lt;=0,0,calcu!$I$27)</f>
        <v>#N/A</v>
      </c>
      <c r="O12" s="5" t="e">
        <f>IF(OR(I12=0,calcu!$T$27&lt;=0),0,calcu!$T$27)</f>
        <v>#N/A</v>
      </c>
      <c r="P12" s="5" t="e">
        <f t="shared" si="1"/>
        <v>#N/A</v>
      </c>
      <c r="R12" s="13" t="str">
        <f t="shared" si="2"/>
        <v>Schroef 280xØ6</v>
      </c>
      <c r="S12" s="7">
        <f t="shared" si="4"/>
        <v>0</v>
      </c>
      <c r="T12" s="6" t="str">
        <f t="shared" si="5"/>
        <v>Schroef 260xØ8</v>
      </c>
      <c r="U12" s="5" t="e">
        <f t="shared" si="6"/>
        <v>#N/A</v>
      </c>
      <c r="V12" s="96" t="e">
        <f t="shared" si="3"/>
        <v>#N/A</v>
      </c>
      <c r="W12" s="4">
        <f>CEILING((H12*(SlimFix!$J$32/1000))+(I12*(SlimFix!$J$50/1000)),1)</f>
        <v>0</v>
      </c>
      <c r="X12" t="s">
        <v>191</v>
      </c>
      <c r="Y12" s="109">
        <v>3</v>
      </c>
      <c r="Z12" t="s">
        <v>195</v>
      </c>
      <c r="AC12" cm="1">
        <f t="array" ref="AC12">IF(OR($C$9="SlimFix 3/3L",$C$9="SlimFix 3/3",$C$9="SlimFix 8/8",$C$9="SlimFix 8/8L"),' lijst slimfix'!$B$15:$B$24,2)</f>
        <v>2</v>
      </c>
      <c r="AD12" s="122">
        <v>6</v>
      </c>
      <c r="AE12" s="122">
        <v>6</v>
      </c>
      <c r="AF12" s="122">
        <v>6</v>
      </c>
      <c r="AG12" s="122">
        <v>6</v>
      </c>
      <c r="AH12" t="s">
        <v>36</v>
      </c>
    </row>
    <row r="13" spans="1:34" x14ac:dyDescent="0.25">
      <c r="A13" s="1" t="s">
        <v>5</v>
      </c>
      <c r="B13" s="12">
        <v>6.3</v>
      </c>
      <c r="C13" s="86" t="str">
        <f t="shared" si="0"/>
        <v>SlimFix 3/3 6,3</v>
      </c>
      <c r="D13" s="7">
        <v>3</v>
      </c>
      <c r="E13" s="10">
        <v>9.5</v>
      </c>
      <c r="F13" s="7" t="s">
        <v>129</v>
      </c>
      <c r="G13" s="7">
        <v>100</v>
      </c>
      <c r="H13" s="94">
        <f>CEILING(SlimFix!$D$32*SlimFix!$J$44/1020,1)</f>
        <v>0</v>
      </c>
      <c r="I13" s="94">
        <f>CEILING(SlimFix!$D$50*SlimFix!$J$57/1020,1)</f>
        <v>0</v>
      </c>
      <c r="J13" s="7">
        <f>((H13*SlimFix!$D$35)+(I13*SlimFix!$D$52))*3</f>
        <v>0</v>
      </c>
      <c r="K13" s="5" t="s">
        <v>150</v>
      </c>
      <c r="L13" s="5">
        <v>50</v>
      </c>
      <c r="M13" s="5">
        <v>8</v>
      </c>
      <c r="N13" s="5" t="e">
        <f>IF(calcu!$I$27&lt;=0,0,calcu!$I$27)</f>
        <v>#N/A</v>
      </c>
      <c r="O13" s="5" t="e">
        <f>IF(OR(I13=0,calcu!$T$27&lt;=0),0,calcu!$T$27)</f>
        <v>#N/A</v>
      </c>
      <c r="P13" s="5" t="e">
        <f t="shared" si="1"/>
        <v>#N/A</v>
      </c>
      <c r="R13" s="13" t="str">
        <f t="shared" si="2"/>
        <v>Schroef 280xØ6</v>
      </c>
      <c r="S13" s="7">
        <f t="shared" si="4"/>
        <v>0</v>
      </c>
      <c r="T13" s="6" t="str">
        <f t="shared" si="5"/>
        <v>Schroef 260xØ8</v>
      </c>
      <c r="U13" s="5" t="e">
        <f t="shared" si="6"/>
        <v>#N/A</v>
      </c>
      <c r="V13" s="96" t="e">
        <f t="shared" si="3"/>
        <v>#N/A</v>
      </c>
      <c r="W13" s="4">
        <f>CEILING((H13*(SlimFix!$J$32/1000))+(I13*(SlimFix!$J$50/1000)),1)</f>
        <v>0</v>
      </c>
      <c r="X13" t="s">
        <v>191</v>
      </c>
      <c r="Y13" s="109">
        <v>3</v>
      </c>
      <c r="Z13" t="s">
        <v>195</v>
      </c>
      <c r="AD13" s="122">
        <v>6.3</v>
      </c>
      <c r="AE13" s="122">
        <v>6.3</v>
      </c>
      <c r="AF13" s="122">
        <v>6.3</v>
      </c>
      <c r="AG13" s="122">
        <v>6.3</v>
      </c>
    </row>
    <row r="14" spans="1:34" x14ac:dyDescent="0.25">
      <c r="A14" s="1" t="s">
        <v>5</v>
      </c>
      <c r="B14" s="12">
        <v>7</v>
      </c>
      <c r="C14" s="86" t="str">
        <f t="shared" si="0"/>
        <v>SlimFix 3/3 7</v>
      </c>
      <c r="D14" s="7">
        <v>3</v>
      </c>
      <c r="E14" s="10">
        <v>10</v>
      </c>
      <c r="F14" s="7" t="s">
        <v>130</v>
      </c>
      <c r="G14" s="7">
        <v>100</v>
      </c>
      <c r="H14" s="94">
        <f>CEILING(SlimFix!$D$32*SlimFix!$J$44/1020,1)</f>
        <v>0</v>
      </c>
      <c r="I14" s="94">
        <f>CEILING(SlimFix!$D$50*SlimFix!$J$57/1020,1)</f>
        <v>0</v>
      </c>
      <c r="J14" s="7">
        <f>((H14*SlimFix!$D$35)+(I14*SlimFix!$D$52))*3</f>
        <v>0</v>
      </c>
      <c r="K14" s="5" t="s">
        <v>151</v>
      </c>
      <c r="L14" s="5">
        <v>50</v>
      </c>
      <c r="M14" s="5">
        <v>8</v>
      </c>
      <c r="N14" s="5" t="e">
        <f>IF(calcu!$I$27&lt;=0,0,calcu!$I$27)</f>
        <v>#N/A</v>
      </c>
      <c r="O14" s="5" t="e">
        <f>IF(OR(I14=0,calcu!$T$27&lt;=0),0,calcu!$T$27)</f>
        <v>#N/A</v>
      </c>
      <c r="P14" s="5" t="e">
        <f t="shared" si="1"/>
        <v>#N/A</v>
      </c>
      <c r="R14" s="13" t="str">
        <f t="shared" si="2"/>
        <v>Schroef 300xØ6</v>
      </c>
      <c r="S14" s="7">
        <f t="shared" si="4"/>
        <v>0</v>
      </c>
      <c r="T14" s="6" t="str">
        <f t="shared" si="5"/>
        <v>Schroef 280xØ8</v>
      </c>
      <c r="U14" s="5" t="e">
        <f t="shared" si="6"/>
        <v>#N/A</v>
      </c>
      <c r="V14" s="96" t="e">
        <f t="shared" si="3"/>
        <v>#N/A</v>
      </c>
      <c r="W14" s="4">
        <f>CEILING((H14*(SlimFix!$J$32/1000))+(I14*(SlimFix!$J$50/1000)),1)</f>
        <v>0</v>
      </c>
      <c r="X14" t="s">
        <v>191</v>
      </c>
      <c r="Y14" s="109">
        <v>3</v>
      </c>
      <c r="Z14" t="s">
        <v>195</v>
      </c>
      <c r="AC14" cm="1">
        <f t="array" ref="AC14">IF(OR($C$9="SlimFix 3/3L",$C$9="SlimFix 3/3",$C$9="SlimFix 8/8",$C$9="SlimFix 8/8L"),' lijst slimfix'!$B$15:$B$24,IF(OR($C$9="SlimFix-XT 3/3R",$C$9="SlimFix-XT 8/8R"),' lijst slimfix'!$B$71:$B$78,2))</f>
        <v>2</v>
      </c>
      <c r="AD14" s="122">
        <v>7</v>
      </c>
      <c r="AE14" s="122">
        <v>7</v>
      </c>
      <c r="AF14" s="122">
        <v>7</v>
      </c>
      <c r="AG14" s="122">
        <v>7</v>
      </c>
    </row>
    <row r="15" spans="1:34" x14ac:dyDescent="0.25">
      <c r="A15" s="1" t="s">
        <v>10</v>
      </c>
      <c r="B15" s="27">
        <v>2.5</v>
      </c>
      <c r="C15" s="86" t="str">
        <f t="shared" si="0"/>
        <v>SlimFix 3/3L 2,5</v>
      </c>
      <c r="D15" s="7">
        <v>3</v>
      </c>
      <c r="E15" s="10">
        <v>8.5</v>
      </c>
      <c r="F15" s="7" t="s">
        <v>123</v>
      </c>
      <c r="G15" s="7">
        <v>100</v>
      </c>
      <c r="H15" s="94">
        <f>CEILING(SlimFix!$D$32*SlimFix!$J$44/1020,1)</f>
        <v>0</v>
      </c>
      <c r="I15" s="94">
        <f>CEILING(SlimFix!$D$50*SlimFix!$J$57/1020,1)</f>
        <v>0</v>
      </c>
      <c r="J15" s="7">
        <f>((H15*SlimFix!$D$35)+(I15*SlimFix!$D$52))*3</f>
        <v>0</v>
      </c>
      <c r="K15" s="5" t="s">
        <v>123</v>
      </c>
      <c r="L15" s="5">
        <v>50</v>
      </c>
      <c r="M15" s="5">
        <v>6</v>
      </c>
      <c r="N15" s="5" t="e">
        <f>IF(calcu!$I$26&lt;=0,0,calcu!$I$26)</f>
        <v>#N/A</v>
      </c>
      <c r="O15" s="5" t="e">
        <f>IF(OR(I15=0,calcu!$T$26&lt;=0),0,calcu!$T$26)</f>
        <v>#N/A</v>
      </c>
      <c r="P15" s="5" t="e">
        <f t="shared" si="1"/>
        <v>#N/A</v>
      </c>
      <c r="R15" s="13" t="str">
        <f t="shared" si="2"/>
        <v>Schroef 160xØ6</v>
      </c>
      <c r="S15" s="7" t="e">
        <f>CEILING((J15+P15)/G15,1)</f>
        <v>#N/A</v>
      </c>
      <c r="T15" s="9"/>
      <c r="U15" s="10"/>
      <c r="V15" s="96" t="e">
        <f t="shared" si="3"/>
        <v>#N/A</v>
      </c>
      <c r="W15" s="4">
        <f>CEILING((H15*(SlimFix!$J$32/1000))+(I15*(SlimFix!$J$50/1000)),1)</f>
        <v>0</v>
      </c>
      <c r="X15" t="s">
        <v>191</v>
      </c>
      <c r="Y15" s="109">
        <v>3</v>
      </c>
      <c r="Z15" t="s">
        <v>195</v>
      </c>
    </row>
    <row r="16" spans="1:34" x14ac:dyDescent="0.25">
      <c r="A16" s="1" t="s">
        <v>10</v>
      </c>
      <c r="B16" s="12">
        <v>3</v>
      </c>
      <c r="C16" s="86" t="str">
        <f t="shared" si="0"/>
        <v>SlimFix 3/3L 3</v>
      </c>
      <c r="D16" s="7">
        <v>3</v>
      </c>
      <c r="E16" s="10">
        <v>9</v>
      </c>
      <c r="F16" s="7" t="s">
        <v>124</v>
      </c>
      <c r="G16" s="7">
        <v>100</v>
      </c>
      <c r="H16" s="94">
        <f>CEILING(SlimFix!$D$32*SlimFix!$J$44/1020,1)</f>
        <v>0</v>
      </c>
      <c r="I16" s="94">
        <f>CEILING(SlimFix!$D$50*SlimFix!$J$57/1020,1)</f>
        <v>0</v>
      </c>
      <c r="J16" s="7">
        <f>((H16*SlimFix!$D$35)+(I16*SlimFix!$D$52))*3</f>
        <v>0</v>
      </c>
      <c r="K16" s="5" t="s">
        <v>124</v>
      </c>
      <c r="L16" s="5">
        <v>50</v>
      </c>
      <c r="M16" s="5">
        <v>6</v>
      </c>
      <c r="N16" s="5" t="e">
        <f>IF(calcu!$I$26&lt;=0,0,calcu!$I$26)</f>
        <v>#N/A</v>
      </c>
      <c r="O16" s="5" t="e">
        <f>IF(OR(I16=0,calcu!$T$26&lt;=0),0,calcu!$T$26)</f>
        <v>#N/A</v>
      </c>
      <c r="P16" s="5" t="e">
        <f t="shared" si="1"/>
        <v>#N/A</v>
      </c>
      <c r="R16" s="13" t="str">
        <f t="shared" si="2"/>
        <v>Schroef 180xØ6</v>
      </c>
      <c r="S16" s="7" t="e">
        <f>CEILING((J16+P16)/G16,1)</f>
        <v>#N/A</v>
      </c>
      <c r="T16" s="9"/>
      <c r="U16" s="10"/>
      <c r="V16" s="96" t="e">
        <f t="shared" si="3"/>
        <v>#N/A</v>
      </c>
      <c r="W16" s="4">
        <f>CEILING((H16*(SlimFix!$J$32/1000))+(I16*(SlimFix!$J$50/1000)),1)</f>
        <v>0</v>
      </c>
      <c r="X16" t="s">
        <v>191</v>
      </c>
      <c r="Y16" s="109">
        <v>3</v>
      </c>
      <c r="Z16" t="s">
        <v>195</v>
      </c>
      <c r="AC16" cm="1">
        <f t="array" ref="AC16">IF(OR($C$9="SlimFix 3/3L",$C$9="SlimFix 3/3",$C$9="SlimFix 8/8",$C$9="SlimFix 8/8L"),' lijst slimfix'!$B$15:$B$24,IF(OR($C$9="SlimFix-XT 3/3R",$C$9="SlimFix-XT 8/8R"),' lijst slimfix'!$B$71:$B$78,IF($C$9="SlimFix-XT Passief",' lijst slimfix'!$B$95:$B$99,2)))</f>
        <v>2</v>
      </c>
    </row>
    <row r="17" spans="1:26" x14ac:dyDescent="0.25">
      <c r="A17" s="1" t="s">
        <v>10</v>
      </c>
      <c r="B17" s="12">
        <v>3.5</v>
      </c>
      <c r="C17" s="86" t="str">
        <f t="shared" si="0"/>
        <v>SlimFix 3/3L 3,5</v>
      </c>
      <c r="D17" s="7">
        <v>3</v>
      </c>
      <c r="E17" s="10">
        <v>9.5</v>
      </c>
      <c r="F17" s="7" t="s">
        <v>125</v>
      </c>
      <c r="G17" s="7">
        <v>100</v>
      </c>
      <c r="H17" s="94">
        <f>CEILING(SlimFix!$D$32*SlimFix!$J$44/1020,1)</f>
        <v>0</v>
      </c>
      <c r="I17" s="94">
        <f>CEILING(SlimFix!$D$50*SlimFix!$J$57/1020,1)</f>
        <v>0</v>
      </c>
      <c r="J17" s="7">
        <f>((H17*SlimFix!$D$35)+(I17*SlimFix!$D$52))*3</f>
        <v>0</v>
      </c>
      <c r="K17" s="5" t="s">
        <v>152</v>
      </c>
      <c r="L17" s="5">
        <v>50</v>
      </c>
      <c r="M17" s="5">
        <v>8</v>
      </c>
      <c r="N17" s="5" t="e">
        <f>IF(calcu!$I$27&lt;=0,0,calcu!$I$27)</f>
        <v>#N/A</v>
      </c>
      <c r="O17" s="5" t="e">
        <f>IF(OR(I17=0,calcu!$T$27&lt;=0),0,calcu!$T$27)</f>
        <v>#N/A</v>
      </c>
      <c r="P17" s="5" t="e">
        <f t="shared" si="1"/>
        <v>#N/A</v>
      </c>
      <c r="R17" s="13" t="str">
        <f t="shared" si="2"/>
        <v>Schroef 200xØ6</v>
      </c>
      <c r="S17" s="7">
        <f t="shared" ref="S17:S23" si="7">CEILING(J17/G17,1)</f>
        <v>0</v>
      </c>
      <c r="T17" s="6" t="str">
        <f t="shared" ref="T17:T24" si="8">K17</f>
        <v>Schroef 180xØ8</v>
      </c>
      <c r="U17" s="5" t="e">
        <f t="shared" ref="U17:U23" si="9">CEILING(P17/L17,1)</f>
        <v>#N/A</v>
      </c>
      <c r="V17" s="96" t="e">
        <f t="shared" si="3"/>
        <v>#N/A</v>
      </c>
      <c r="W17" s="4">
        <f>CEILING((H17*(SlimFix!$J$32/1000))+(I17*(SlimFix!$J$50/1000)),1)</f>
        <v>0</v>
      </c>
      <c r="X17" t="s">
        <v>191</v>
      </c>
      <c r="Y17" s="109">
        <v>3</v>
      </c>
      <c r="Z17" t="s">
        <v>195</v>
      </c>
    </row>
    <row r="18" spans="1:26" x14ac:dyDescent="0.25">
      <c r="A18" s="1" t="s">
        <v>10</v>
      </c>
      <c r="B18" s="12">
        <v>4</v>
      </c>
      <c r="C18" s="86" t="str">
        <f t="shared" si="0"/>
        <v>SlimFix 3/3L 4</v>
      </c>
      <c r="D18" s="7">
        <v>3</v>
      </c>
      <c r="E18" s="10">
        <v>10</v>
      </c>
      <c r="F18" s="7" t="s">
        <v>126</v>
      </c>
      <c r="G18" s="7">
        <v>100</v>
      </c>
      <c r="H18" s="94">
        <f>CEILING(SlimFix!$D$32*SlimFix!$J$44/1020,1)</f>
        <v>0</v>
      </c>
      <c r="I18" s="94">
        <f>CEILING(SlimFix!$D$50*SlimFix!$J$57/1020,1)</f>
        <v>0</v>
      </c>
      <c r="J18" s="7">
        <f>((H18*SlimFix!$D$35)+(I18*SlimFix!$D$52))*3</f>
        <v>0</v>
      </c>
      <c r="K18" s="5" t="s">
        <v>148</v>
      </c>
      <c r="L18" s="5">
        <v>50</v>
      </c>
      <c r="M18" s="5">
        <v>8</v>
      </c>
      <c r="N18" s="5" t="e">
        <f>IF(calcu!$I$27&lt;=0,0,calcu!$I$27)</f>
        <v>#N/A</v>
      </c>
      <c r="O18" s="5" t="e">
        <f>IF(OR(I18=0,calcu!$T$27&lt;=0),0,calcu!$T$27)</f>
        <v>#N/A</v>
      </c>
      <c r="P18" s="5" t="e">
        <f t="shared" si="1"/>
        <v>#N/A</v>
      </c>
      <c r="R18" s="13" t="str">
        <f t="shared" si="2"/>
        <v>Schroef 220xØ6</v>
      </c>
      <c r="S18" s="7">
        <f t="shared" si="7"/>
        <v>0</v>
      </c>
      <c r="T18" s="6" t="str">
        <f t="shared" si="8"/>
        <v>Schroef 200xØ8</v>
      </c>
      <c r="U18" s="5" t="e">
        <f t="shared" si="9"/>
        <v>#N/A</v>
      </c>
      <c r="V18" s="96" t="e">
        <f t="shared" si="3"/>
        <v>#N/A</v>
      </c>
      <c r="W18" s="4">
        <f>CEILING((H18*(SlimFix!$J$32/1000))+(I18*(SlimFix!$J$50/1000)),1)</f>
        <v>0</v>
      </c>
      <c r="X18" t="s">
        <v>191</v>
      </c>
      <c r="Y18" s="109">
        <v>3</v>
      </c>
      <c r="Z18" t="s">
        <v>195</v>
      </c>
    </row>
    <row r="19" spans="1:26" x14ac:dyDescent="0.25">
      <c r="A19" s="1" t="s">
        <v>10</v>
      </c>
      <c r="B19" s="12">
        <v>4.5</v>
      </c>
      <c r="C19" s="86" t="str">
        <f t="shared" si="0"/>
        <v>SlimFix 3/3L 4,5</v>
      </c>
      <c r="D19" s="7">
        <v>3</v>
      </c>
      <c r="E19" s="10">
        <v>11</v>
      </c>
      <c r="F19" s="7" t="s">
        <v>127</v>
      </c>
      <c r="G19" s="7">
        <v>100</v>
      </c>
      <c r="H19" s="94">
        <f>CEILING(SlimFix!$D$32*SlimFix!$J$44/1020,1)</f>
        <v>0</v>
      </c>
      <c r="I19" s="94">
        <f>CEILING(SlimFix!$D$50*SlimFix!$J$57/1020,1)</f>
        <v>0</v>
      </c>
      <c r="J19" s="7">
        <f>((H19*SlimFix!$D$35)+(I19*SlimFix!$D$52))*3</f>
        <v>0</v>
      </c>
      <c r="K19" s="5" t="s">
        <v>149</v>
      </c>
      <c r="L19" s="5">
        <v>50</v>
      </c>
      <c r="M19" s="5">
        <v>8</v>
      </c>
      <c r="N19" s="5" t="e">
        <f>IF(calcu!$I$27&lt;=0,0,calcu!$I$27)</f>
        <v>#N/A</v>
      </c>
      <c r="O19" s="5" t="e">
        <f>IF(OR(I19=0,calcu!$T$27&lt;=0),0,calcu!$T$27)</f>
        <v>#N/A</v>
      </c>
      <c r="P19" s="5" t="e">
        <f t="shared" si="1"/>
        <v>#N/A</v>
      </c>
      <c r="R19" s="13" t="str">
        <f t="shared" si="2"/>
        <v>Schroef 240xØ6</v>
      </c>
      <c r="S19" s="7">
        <f t="shared" si="7"/>
        <v>0</v>
      </c>
      <c r="T19" s="6" t="str">
        <f t="shared" si="8"/>
        <v>Schroef 240xØ8</v>
      </c>
      <c r="U19" s="5" t="e">
        <f t="shared" si="9"/>
        <v>#N/A</v>
      </c>
      <c r="V19" s="96" t="e">
        <f t="shared" si="3"/>
        <v>#N/A</v>
      </c>
      <c r="W19" s="4">
        <f>CEILING((H19*(SlimFix!$J$32/1000))+(I19*(SlimFix!$J$50/1000)),1)</f>
        <v>0</v>
      </c>
      <c r="X19" t="s">
        <v>191</v>
      </c>
      <c r="Y19" s="109">
        <v>3</v>
      </c>
      <c r="Z19" t="s">
        <v>195</v>
      </c>
    </row>
    <row r="20" spans="1:26" x14ac:dyDescent="0.25">
      <c r="A20" s="1" t="s">
        <v>10</v>
      </c>
      <c r="B20" s="12">
        <v>5</v>
      </c>
      <c r="C20" s="86" t="str">
        <f t="shared" si="0"/>
        <v>SlimFix 3/3L 5</v>
      </c>
      <c r="D20" s="7">
        <v>3</v>
      </c>
      <c r="E20" s="10">
        <v>11.5</v>
      </c>
      <c r="F20" s="7" t="s">
        <v>128</v>
      </c>
      <c r="G20" s="7">
        <v>100</v>
      </c>
      <c r="H20" s="94">
        <f>CEILING(SlimFix!$D$32*SlimFix!$J$44/1020,1)</f>
        <v>0</v>
      </c>
      <c r="I20" s="94">
        <f>CEILING(SlimFix!$D$50*SlimFix!$J$57/1020,1)</f>
        <v>0</v>
      </c>
      <c r="J20" s="7">
        <f>((H20*SlimFix!$D$35)+(I20*SlimFix!$D$52))*3</f>
        <v>0</v>
      </c>
      <c r="K20" s="5" t="s">
        <v>150</v>
      </c>
      <c r="L20" s="5">
        <v>50</v>
      </c>
      <c r="M20" s="5">
        <v>8</v>
      </c>
      <c r="N20" s="5" t="e">
        <f>IF(calcu!$I$27&lt;=0,0,calcu!$I$27)</f>
        <v>#N/A</v>
      </c>
      <c r="O20" s="5" t="e">
        <f>IF(OR(I20=0,calcu!$T$27&lt;=0),0,calcu!$T$27)</f>
        <v>#N/A</v>
      </c>
      <c r="P20" s="5" t="e">
        <f t="shared" si="1"/>
        <v>#N/A</v>
      </c>
      <c r="R20" s="13" t="str">
        <f t="shared" si="2"/>
        <v>Schroef 260xØ6</v>
      </c>
      <c r="S20" s="7">
        <f t="shared" si="7"/>
        <v>0</v>
      </c>
      <c r="T20" s="6" t="str">
        <f t="shared" si="8"/>
        <v>Schroef 260xØ8</v>
      </c>
      <c r="U20" s="5" t="e">
        <f t="shared" si="9"/>
        <v>#N/A</v>
      </c>
      <c r="V20" s="96" t="e">
        <f t="shared" si="3"/>
        <v>#N/A</v>
      </c>
      <c r="W20" s="4">
        <f>CEILING((H20*(SlimFix!$J$32/1000))+(I20*(SlimFix!$J$50/1000)),1)</f>
        <v>0</v>
      </c>
      <c r="X20" t="s">
        <v>191</v>
      </c>
      <c r="Y20" s="109">
        <v>3</v>
      </c>
      <c r="Z20" t="s">
        <v>195</v>
      </c>
    </row>
    <row r="21" spans="1:26" x14ac:dyDescent="0.25">
      <c r="A21" s="1" t="s">
        <v>10</v>
      </c>
      <c r="B21" s="12">
        <v>5.5</v>
      </c>
      <c r="C21" s="86" t="str">
        <f t="shared" si="0"/>
        <v>SlimFix 3/3L 5,5</v>
      </c>
      <c r="D21" s="7">
        <v>3</v>
      </c>
      <c r="E21" s="10">
        <v>12</v>
      </c>
      <c r="F21" s="7" t="s">
        <v>128</v>
      </c>
      <c r="G21" s="7">
        <v>100</v>
      </c>
      <c r="H21" s="94">
        <f>CEILING(SlimFix!$D$32*SlimFix!$J$44/1020,1)</f>
        <v>0</v>
      </c>
      <c r="I21" s="94">
        <f>CEILING(SlimFix!$D$50*SlimFix!$J$57/1020,1)</f>
        <v>0</v>
      </c>
      <c r="J21" s="7">
        <f>((H21*SlimFix!$D$35)+(I21*SlimFix!$D$52))*3</f>
        <v>0</v>
      </c>
      <c r="K21" s="5" t="s">
        <v>150</v>
      </c>
      <c r="L21" s="5">
        <v>50</v>
      </c>
      <c r="M21" s="5">
        <v>8</v>
      </c>
      <c r="N21" s="5" t="e">
        <f>IF(calcu!$I$27&lt;=0,0,calcu!$I$27)</f>
        <v>#N/A</v>
      </c>
      <c r="O21" s="5" t="e">
        <f>IF(OR(I21=0,calcu!$T$27&lt;=0),0,calcu!$T$27)</f>
        <v>#N/A</v>
      </c>
      <c r="P21" s="5" t="e">
        <f t="shared" si="1"/>
        <v>#N/A</v>
      </c>
      <c r="R21" s="13" t="str">
        <f t="shared" si="2"/>
        <v>Schroef 260xØ6</v>
      </c>
      <c r="S21" s="7">
        <f t="shared" si="7"/>
        <v>0</v>
      </c>
      <c r="T21" s="6" t="str">
        <f t="shared" si="8"/>
        <v>Schroef 260xØ8</v>
      </c>
      <c r="U21" s="5" t="e">
        <f t="shared" si="9"/>
        <v>#N/A</v>
      </c>
      <c r="V21" s="96" t="e">
        <f t="shared" si="3"/>
        <v>#N/A</v>
      </c>
      <c r="W21" s="4">
        <f>CEILING((H21*(SlimFix!$J$32/1000))+(I21*(SlimFix!$J$50/1000)),1)</f>
        <v>0</v>
      </c>
      <c r="X21" t="s">
        <v>191</v>
      </c>
      <c r="Y21" s="109">
        <v>3</v>
      </c>
      <c r="Z21" t="s">
        <v>195</v>
      </c>
    </row>
    <row r="22" spans="1:26" x14ac:dyDescent="0.25">
      <c r="A22" s="1" t="s">
        <v>10</v>
      </c>
      <c r="B22" s="12">
        <v>6</v>
      </c>
      <c r="C22" s="86" t="str">
        <f t="shared" si="0"/>
        <v>SlimFix 3/3L 6</v>
      </c>
      <c r="D22" s="7">
        <v>3</v>
      </c>
      <c r="E22" s="10">
        <v>13</v>
      </c>
      <c r="F22" s="7" t="s">
        <v>130</v>
      </c>
      <c r="G22" s="7">
        <v>100</v>
      </c>
      <c r="H22" s="94">
        <f>CEILING(SlimFix!$D$32*SlimFix!$J$44/1020,1)</f>
        <v>0</v>
      </c>
      <c r="I22" s="94">
        <f>CEILING(SlimFix!$D$50*SlimFix!$J$57/1020,1)</f>
        <v>0</v>
      </c>
      <c r="J22" s="7">
        <f>((H22*SlimFix!$D$35)+(I22*SlimFix!$D$52))*3</f>
        <v>0</v>
      </c>
      <c r="K22" s="5" t="s">
        <v>151</v>
      </c>
      <c r="L22" s="5">
        <v>50</v>
      </c>
      <c r="M22" s="5">
        <v>8</v>
      </c>
      <c r="N22" s="5" t="e">
        <f>IF(calcu!$I$27&lt;=0,0,calcu!$I$27)</f>
        <v>#N/A</v>
      </c>
      <c r="O22" s="5" t="e">
        <f>IF(OR(I22=0,calcu!$T$27&lt;=0),0,calcu!$T$27)</f>
        <v>#N/A</v>
      </c>
      <c r="P22" s="5" t="e">
        <f t="shared" si="1"/>
        <v>#N/A</v>
      </c>
      <c r="R22" s="13" t="str">
        <f t="shared" si="2"/>
        <v>Schroef 300xØ6</v>
      </c>
      <c r="S22" s="7">
        <f t="shared" si="7"/>
        <v>0</v>
      </c>
      <c r="T22" s="6" t="str">
        <f t="shared" si="8"/>
        <v>Schroef 280xØ8</v>
      </c>
      <c r="U22" s="5" t="e">
        <f t="shared" si="9"/>
        <v>#N/A</v>
      </c>
      <c r="V22" s="96" t="e">
        <f t="shared" si="3"/>
        <v>#N/A</v>
      </c>
      <c r="W22" s="4">
        <f>CEILING((H22*(SlimFix!$J$32/1000))+(I22*(SlimFix!$J$50/1000)),1)</f>
        <v>0</v>
      </c>
      <c r="X22" t="s">
        <v>191</v>
      </c>
      <c r="Y22" s="109">
        <v>3</v>
      </c>
      <c r="Z22" t="s">
        <v>195</v>
      </c>
    </row>
    <row r="23" spans="1:26" x14ac:dyDescent="0.25">
      <c r="A23" s="1" t="s">
        <v>10</v>
      </c>
      <c r="B23" s="12">
        <v>6.3</v>
      </c>
      <c r="C23" s="86" t="str">
        <f t="shared" si="0"/>
        <v>SlimFix 3/3L 6,3</v>
      </c>
      <c r="D23" s="7">
        <v>3</v>
      </c>
      <c r="E23" s="10">
        <v>13</v>
      </c>
      <c r="F23" s="7" t="s">
        <v>130</v>
      </c>
      <c r="G23" s="7">
        <v>100</v>
      </c>
      <c r="H23" s="94">
        <f>CEILING(SlimFix!$D$32*SlimFix!$J$44/1020,1)</f>
        <v>0</v>
      </c>
      <c r="I23" s="94">
        <f>CEILING(SlimFix!$D$50*SlimFix!$J$57/1020,1)</f>
        <v>0</v>
      </c>
      <c r="J23" s="7">
        <f>((H23*SlimFix!$D$35)+(I23*SlimFix!$D$52))*3</f>
        <v>0</v>
      </c>
      <c r="K23" s="5" t="s">
        <v>151</v>
      </c>
      <c r="L23" s="5">
        <v>50</v>
      </c>
      <c r="M23" s="5">
        <v>8</v>
      </c>
      <c r="N23" s="5" t="e">
        <f>IF(calcu!$I$27&lt;=0,0,calcu!$I$27)</f>
        <v>#N/A</v>
      </c>
      <c r="O23" s="5" t="e">
        <f>IF(OR(I23=0,calcu!$T$27&lt;=0),0,calcu!$T$27)</f>
        <v>#N/A</v>
      </c>
      <c r="P23" s="5" t="e">
        <f t="shared" si="1"/>
        <v>#N/A</v>
      </c>
      <c r="R23" s="13" t="str">
        <f t="shared" si="2"/>
        <v>Schroef 300xØ6</v>
      </c>
      <c r="S23" s="7">
        <f t="shared" si="7"/>
        <v>0</v>
      </c>
      <c r="T23" s="6" t="str">
        <f t="shared" si="8"/>
        <v>Schroef 280xØ8</v>
      </c>
      <c r="U23" s="5" t="e">
        <f t="shared" si="9"/>
        <v>#N/A</v>
      </c>
      <c r="V23" s="96" t="e">
        <f t="shared" si="3"/>
        <v>#N/A</v>
      </c>
      <c r="W23" s="4">
        <f>CEILING((H23*(SlimFix!$J$32/1000))+(I23*(SlimFix!$J$50/1000)),1)</f>
        <v>0</v>
      </c>
      <c r="X23" t="s">
        <v>191</v>
      </c>
      <c r="Y23" s="109">
        <v>3</v>
      </c>
      <c r="Z23" t="s">
        <v>195</v>
      </c>
    </row>
    <row r="24" spans="1:26" x14ac:dyDescent="0.25">
      <c r="A24" s="1" t="s">
        <v>10</v>
      </c>
      <c r="B24" s="12">
        <v>7</v>
      </c>
      <c r="C24" s="86" t="str">
        <f t="shared" si="0"/>
        <v>SlimFix 3/3L 7</v>
      </c>
      <c r="D24" s="7">
        <v>3</v>
      </c>
      <c r="E24" s="10">
        <v>14.5</v>
      </c>
      <c r="F24" s="7" t="s">
        <v>131</v>
      </c>
      <c r="G24" s="7">
        <v>50</v>
      </c>
      <c r="H24" s="94">
        <f>CEILING(SlimFix!$D$32*SlimFix!$J$44/1020,1)</f>
        <v>0</v>
      </c>
      <c r="I24" s="94">
        <f>CEILING(SlimFix!$D$50*SlimFix!$J$57/1020,1)</f>
        <v>0</v>
      </c>
      <c r="J24" s="7">
        <f>((H24*SlimFix!$D$35)+(I24*SlimFix!$D$52))*2</f>
        <v>0</v>
      </c>
      <c r="K24" s="5" t="s">
        <v>131</v>
      </c>
      <c r="L24" s="5">
        <v>50</v>
      </c>
      <c r="M24" s="5">
        <v>8</v>
      </c>
      <c r="N24" s="5" t="e">
        <f>IF(calcu!$I$27&lt;=0,0,calcu!$I$27)</f>
        <v>#N/A</v>
      </c>
      <c r="O24" s="5" t="e">
        <f>IF(OR(I24=0,calcu!$T$27&lt;=0),0,calcu!$T$27)</f>
        <v>#N/A</v>
      </c>
      <c r="P24" s="5" t="e">
        <f t="shared" si="1"/>
        <v>#N/A</v>
      </c>
      <c r="R24" s="9"/>
      <c r="S24" s="10"/>
      <c r="T24" s="6" t="str">
        <f t="shared" si="8"/>
        <v>Schroef 300xØ8</v>
      </c>
      <c r="U24" s="5" t="e">
        <f>CEILING((P24+J24)/L24,1)</f>
        <v>#N/A</v>
      </c>
      <c r="V24" s="96" t="e">
        <f>CEILING((P24+J24)/100,1)</f>
        <v>#N/A</v>
      </c>
      <c r="W24" s="4">
        <f>CEILING((H24*(SlimFix!$J$32/1000))+(I24*(SlimFix!$J$50/1000)),1)</f>
        <v>0</v>
      </c>
      <c r="X24" t="s">
        <v>192</v>
      </c>
      <c r="Y24" s="109">
        <v>2</v>
      </c>
      <c r="Z24" t="s">
        <v>195</v>
      </c>
    </row>
    <row r="25" spans="1:26" x14ac:dyDescent="0.25">
      <c r="A25" s="1" t="s">
        <v>11</v>
      </c>
      <c r="B25" s="27">
        <v>2.5</v>
      </c>
      <c r="C25" s="86" t="str">
        <f t="shared" si="0"/>
        <v>SlimFix 8/8 2,5</v>
      </c>
      <c r="D25" s="7">
        <v>8</v>
      </c>
      <c r="E25" s="10">
        <v>12.5</v>
      </c>
      <c r="F25" s="7" t="s">
        <v>123</v>
      </c>
      <c r="G25" s="7">
        <v>100</v>
      </c>
      <c r="H25" s="94">
        <f>CEILING(SlimFix!$D$32*SlimFix!$J$44/1020,1)</f>
        <v>0</v>
      </c>
      <c r="I25" s="94">
        <f>CEILING(SlimFix!$D$50*SlimFix!$J$57/1020,1)</f>
        <v>0</v>
      </c>
      <c r="J25" s="7">
        <f>((H25*SlimFix!$D$35)+(I25*SlimFix!$D$52))*3</f>
        <v>0</v>
      </c>
      <c r="K25" s="5" t="s">
        <v>123</v>
      </c>
      <c r="L25" s="5">
        <v>100</v>
      </c>
      <c r="M25" s="5">
        <v>6</v>
      </c>
      <c r="N25" s="5" t="e">
        <f>IF(calcu!$I$28&lt;=0,0,calcu!$I$28)</f>
        <v>#N/A</v>
      </c>
      <c r="O25" s="5" t="e">
        <f>IF(OR(I25=0,calcu!$T$28&lt;=0),0,calcu!$T$28)</f>
        <v>#N/A</v>
      </c>
      <c r="P25" s="5" t="e">
        <f t="shared" si="1"/>
        <v>#N/A</v>
      </c>
      <c r="R25" s="13" t="str">
        <f t="shared" si="2"/>
        <v>Schroef 160xØ6</v>
      </c>
      <c r="S25" s="7" t="e">
        <f>CEILING((J25+P25)/G25,1)</f>
        <v>#N/A</v>
      </c>
      <c r="T25" s="9"/>
      <c r="U25" s="10"/>
      <c r="V25" s="96" t="e">
        <f t="shared" ref="V25:V43" si="10">CEILING(P25/100,1)</f>
        <v>#N/A</v>
      </c>
      <c r="W25" s="4">
        <f>CEILING((H25*(SlimFix!$J$32/1000))+(I25*(SlimFix!$J$50/1000)),1)</f>
        <v>0</v>
      </c>
      <c r="X25" t="s">
        <v>191</v>
      </c>
      <c r="Y25" s="109">
        <v>3</v>
      </c>
      <c r="Z25" t="s">
        <v>195</v>
      </c>
    </row>
    <row r="26" spans="1:26" x14ac:dyDescent="0.25">
      <c r="A26" s="1" t="s">
        <v>11</v>
      </c>
      <c r="B26" s="12">
        <v>3</v>
      </c>
      <c r="C26" s="86" t="str">
        <f t="shared" si="0"/>
        <v>SlimFix 8/8 3</v>
      </c>
      <c r="D26" s="7">
        <v>8</v>
      </c>
      <c r="E26" s="10">
        <v>13</v>
      </c>
      <c r="F26" s="7" t="s">
        <v>124</v>
      </c>
      <c r="G26" s="7">
        <v>100</v>
      </c>
      <c r="H26" s="94">
        <f>CEILING(SlimFix!$D$32*SlimFix!$J$44/1020,1)</f>
        <v>0</v>
      </c>
      <c r="I26" s="94">
        <f>CEILING(SlimFix!$D$50*SlimFix!$J$57/1020,1)</f>
        <v>0</v>
      </c>
      <c r="J26" s="7">
        <f>((H26*SlimFix!$D$35)+(I26*SlimFix!$D$52))*3</f>
        <v>0</v>
      </c>
      <c r="K26" s="5" t="s">
        <v>124</v>
      </c>
      <c r="L26" s="5">
        <v>100</v>
      </c>
      <c r="M26" s="5">
        <v>6</v>
      </c>
      <c r="N26" s="5" t="e">
        <f>IF(calcu!$I$28&lt;=0,0,calcu!$I$28)</f>
        <v>#N/A</v>
      </c>
      <c r="O26" s="5" t="e">
        <f>IF(OR(I26=0,calcu!$T$28&lt;=0),0,calcu!$T$28)</f>
        <v>#N/A</v>
      </c>
      <c r="P26" s="5" t="e">
        <f t="shared" si="1"/>
        <v>#N/A</v>
      </c>
      <c r="R26" s="13" t="str">
        <f t="shared" si="2"/>
        <v>Schroef 180xØ6</v>
      </c>
      <c r="S26" s="7" t="e">
        <f>CEILING((J26+P26)/G26,1)</f>
        <v>#N/A</v>
      </c>
      <c r="T26" s="9"/>
      <c r="U26" s="10"/>
      <c r="V26" s="96" t="e">
        <f t="shared" si="10"/>
        <v>#N/A</v>
      </c>
      <c r="W26" s="4">
        <f>CEILING((H26*(SlimFix!$J$32/1000))+(I26*(SlimFix!$J$50/1000)),1)</f>
        <v>0</v>
      </c>
      <c r="X26" t="s">
        <v>191</v>
      </c>
      <c r="Y26" s="109">
        <v>3</v>
      </c>
      <c r="Z26" t="s">
        <v>195</v>
      </c>
    </row>
    <row r="27" spans="1:26" x14ac:dyDescent="0.25">
      <c r="A27" s="1" t="s">
        <v>11</v>
      </c>
      <c r="B27" s="12">
        <v>3.5</v>
      </c>
      <c r="C27" s="86" t="str">
        <f t="shared" si="0"/>
        <v>SlimFix 8/8 3,5</v>
      </c>
      <c r="D27" s="7">
        <v>8</v>
      </c>
      <c r="E27" s="10">
        <v>13</v>
      </c>
      <c r="F27" s="7" t="s">
        <v>125</v>
      </c>
      <c r="G27" s="7">
        <v>100</v>
      </c>
      <c r="H27" s="94">
        <f>CEILING(SlimFix!$D$32*SlimFix!$J$44/1020,1)</f>
        <v>0</v>
      </c>
      <c r="I27" s="94">
        <f>CEILING(SlimFix!$D$50*SlimFix!$J$57/1020,1)</f>
        <v>0</v>
      </c>
      <c r="J27" s="7">
        <f>((H27*SlimFix!$D$35)+(I27*SlimFix!$D$52))*3</f>
        <v>0</v>
      </c>
      <c r="K27" s="5" t="s">
        <v>152</v>
      </c>
      <c r="L27" s="5">
        <v>50</v>
      </c>
      <c r="M27" s="5">
        <v>8</v>
      </c>
      <c r="N27" s="5" t="e">
        <f>IF(calcu!$I$29&lt;=0,0,calcu!$I$29)</f>
        <v>#N/A</v>
      </c>
      <c r="O27" s="5" t="e">
        <f>IF(OR(I27=0,calcu!$T$29&lt;=0),0,calcu!$T$29)</f>
        <v>#N/A</v>
      </c>
      <c r="P27" s="5" t="e">
        <f t="shared" si="1"/>
        <v>#N/A</v>
      </c>
      <c r="R27" s="13" t="str">
        <f t="shared" si="2"/>
        <v>Schroef 200xØ6</v>
      </c>
      <c r="S27" s="7">
        <f t="shared" ref="S27:S34" si="11">CEILING(J27/G27,1)</f>
        <v>0</v>
      </c>
      <c r="T27" s="6" t="str">
        <f t="shared" ref="T27:T34" si="12">K27</f>
        <v>Schroef 180xØ8</v>
      </c>
      <c r="U27" s="5" t="e">
        <f t="shared" ref="U27:U34" si="13">CEILING(P27/L27,1)</f>
        <v>#N/A</v>
      </c>
      <c r="V27" s="96" t="e">
        <f t="shared" si="10"/>
        <v>#N/A</v>
      </c>
      <c r="W27" s="4">
        <f>CEILING((H27*(SlimFix!$J$32/1000))+(I27*(SlimFix!$J$50/1000)),1)</f>
        <v>0</v>
      </c>
      <c r="X27" t="s">
        <v>191</v>
      </c>
      <c r="Y27" s="109">
        <v>3</v>
      </c>
      <c r="Z27" t="s">
        <v>195</v>
      </c>
    </row>
    <row r="28" spans="1:26" x14ac:dyDescent="0.25">
      <c r="A28" s="1" t="s">
        <v>11</v>
      </c>
      <c r="B28" s="12">
        <v>4</v>
      </c>
      <c r="C28" s="86" t="str">
        <f t="shared" si="0"/>
        <v>SlimFix 8/8 4</v>
      </c>
      <c r="D28" s="7">
        <v>8</v>
      </c>
      <c r="E28" s="10">
        <v>13</v>
      </c>
      <c r="F28" s="7" t="s">
        <v>126</v>
      </c>
      <c r="G28" s="7">
        <v>100</v>
      </c>
      <c r="H28" s="94">
        <f>CEILING(SlimFix!$D$32*SlimFix!$J$44/1020,1)</f>
        <v>0</v>
      </c>
      <c r="I28" s="94">
        <f>CEILING(SlimFix!$D$50*SlimFix!$J$57/1020,1)</f>
        <v>0</v>
      </c>
      <c r="J28" s="7">
        <f>((H28*SlimFix!$D$35)+(I28*SlimFix!$D$52))*3</f>
        <v>0</v>
      </c>
      <c r="K28" s="5" t="s">
        <v>148</v>
      </c>
      <c r="L28" s="5">
        <v>50</v>
      </c>
      <c r="M28" s="5">
        <v>8</v>
      </c>
      <c r="N28" s="5" t="e">
        <f>IF(calcu!$I$29&lt;=0,0,calcu!$I$29)</f>
        <v>#N/A</v>
      </c>
      <c r="O28" s="5" t="e">
        <f>IF(OR(I28=0,calcu!$T$29&lt;=0),0,calcu!$T$29)</f>
        <v>#N/A</v>
      </c>
      <c r="P28" s="5" t="e">
        <f t="shared" si="1"/>
        <v>#N/A</v>
      </c>
      <c r="R28" s="13" t="str">
        <f t="shared" si="2"/>
        <v>Schroef 220xØ6</v>
      </c>
      <c r="S28" s="7">
        <f t="shared" si="11"/>
        <v>0</v>
      </c>
      <c r="T28" s="6" t="str">
        <f t="shared" si="12"/>
        <v>Schroef 200xØ8</v>
      </c>
      <c r="U28" s="5" t="e">
        <f t="shared" si="13"/>
        <v>#N/A</v>
      </c>
      <c r="V28" s="96" t="e">
        <f t="shared" si="10"/>
        <v>#N/A</v>
      </c>
      <c r="W28" s="4">
        <f>CEILING((H28*(SlimFix!$J$32/1000))+(I28*(SlimFix!$J$50/1000)),1)</f>
        <v>0</v>
      </c>
      <c r="X28" t="s">
        <v>191</v>
      </c>
      <c r="Y28" s="109">
        <v>3</v>
      </c>
      <c r="Z28" t="s">
        <v>195</v>
      </c>
    </row>
    <row r="29" spans="1:26" x14ac:dyDescent="0.25">
      <c r="A29" s="1" t="s">
        <v>11</v>
      </c>
      <c r="B29" s="12">
        <v>4.5</v>
      </c>
      <c r="C29" s="86" t="str">
        <f t="shared" si="0"/>
        <v>SlimFix 8/8 4,5</v>
      </c>
      <c r="D29" s="7">
        <v>8</v>
      </c>
      <c r="E29" s="10">
        <v>14</v>
      </c>
      <c r="F29" s="7" t="s">
        <v>126</v>
      </c>
      <c r="G29" s="7">
        <v>100</v>
      </c>
      <c r="H29" s="94">
        <f>CEILING(SlimFix!$D$32*SlimFix!$J$44/1020,1)</f>
        <v>0</v>
      </c>
      <c r="I29" s="94">
        <f>CEILING(SlimFix!$D$50*SlimFix!$J$57/1020,1)</f>
        <v>0</v>
      </c>
      <c r="J29" s="7">
        <f>((H29*SlimFix!$D$35)+(I29*SlimFix!$D$52))*3</f>
        <v>0</v>
      </c>
      <c r="K29" s="5" t="s">
        <v>153</v>
      </c>
      <c r="L29" s="5">
        <v>50</v>
      </c>
      <c r="M29" s="5">
        <v>8</v>
      </c>
      <c r="N29" s="5" t="e">
        <f>IF(calcu!$I$29&lt;=0,0,calcu!$I$29)</f>
        <v>#N/A</v>
      </c>
      <c r="O29" s="5" t="e">
        <f>IF(OR(I29=0,calcu!$T$29&lt;=0),0,calcu!$T$29)</f>
        <v>#N/A</v>
      </c>
      <c r="P29" s="5" t="e">
        <f t="shared" si="1"/>
        <v>#N/A</v>
      </c>
      <c r="R29" s="13" t="str">
        <f t="shared" si="2"/>
        <v>Schroef 220xØ6</v>
      </c>
      <c r="S29" s="7">
        <f t="shared" si="11"/>
        <v>0</v>
      </c>
      <c r="T29" s="6" t="str">
        <f t="shared" si="12"/>
        <v>Schroef 220xØ8</v>
      </c>
      <c r="U29" s="5" t="e">
        <f t="shared" si="13"/>
        <v>#N/A</v>
      </c>
      <c r="V29" s="96" t="e">
        <f t="shared" si="10"/>
        <v>#N/A</v>
      </c>
      <c r="W29" s="4">
        <f>CEILING((H29*(SlimFix!$J$32/1000))+(I29*(SlimFix!$J$50/1000)),1)</f>
        <v>0</v>
      </c>
      <c r="X29" t="s">
        <v>191</v>
      </c>
      <c r="Y29" s="109">
        <v>3</v>
      </c>
      <c r="Z29" t="s">
        <v>195</v>
      </c>
    </row>
    <row r="30" spans="1:26" x14ac:dyDescent="0.25">
      <c r="A30" s="1" t="s">
        <v>11</v>
      </c>
      <c r="B30" s="12">
        <v>5</v>
      </c>
      <c r="C30" s="86" t="str">
        <f t="shared" si="0"/>
        <v>SlimFix 8/8 5</v>
      </c>
      <c r="D30" s="7">
        <v>8</v>
      </c>
      <c r="E30" s="10">
        <v>14</v>
      </c>
      <c r="F30" s="7" t="s">
        <v>127</v>
      </c>
      <c r="G30" s="7">
        <v>100</v>
      </c>
      <c r="H30" s="94">
        <f>CEILING(SlimFix!$D$32*SlimFix!$J$44/1020,1)</f>
        <v>0</v>
      </c>
      <c r="I30" s="94">
        <f>CEILING(SlimFix!$D$50*SlimFix!$J$57/1020,1)</f>
        <v>0</v>
      </c>
      <c r="J30" s="7">
        <f>((H30*SlimFix!$D$35)+(I30*SlimFix!$D$52))*3</f>
        <v>0</v>
      </c>
      <c r="K30" s="5" t="s">
        <v>149</v>
      </c>
      <c r="L30" s="5">
        <v>50</v>
      </c>
      <c r="M30" s="5">
        <v>8</v>
      </c>
      <c r="N30" s="5" t="e">
        <f>IF(calcu!$I$29&lt;=0,0,calcu!$I$29)</f>
        <v>#N/A</v>
      </c>
      <c r="O30" s="5" t="e">
        <f>IF(OR(I30=0,calcu!$T$29&lt;=0),0,calcu!$T$29)</f>
        <v>#N/A</v>
      </c>
      <c r="P30" s="5" t="e">
        <f t="shared" si="1"/>
        <v>#N/A</v>
      </c>
      <c r="R30" s="13" t="str">
        <f t="shared" si="2"/>
        <v>Schroef 240xØ6</v>
      </c>
      <c r="S30" s="7">
        <f t="shared" si="11"/>
        <v>0</v>
      </c>
      <c r="T30" s="6" t="str">
        <f t="shared" si="12"/>
        <v>Schroef 240xØ8</v>
      </c>
      <c r="U30" s="5" t="e">
        <f t="shared" si="13"/>
        <v>#N/A</v>
      </c>
      <c r="V30" s="96" t="e">
        <f t="shared" si="10"/>
        <v>#N/A</v>
      </c>
      <c r="W30" s="4">
        <f>CEILING((H30*(SlimFix!$J$32/1000))+(I30*(SlimFix!$J$50/1000)),1)</f>
        <v>0</v>
      </c>
      <c r="X30" t="s">
        <v>191</v>
      </c>
      <c r="Y30" s="109">
        <v>3</v>
      </c>
      <c r="Z30" t="s">
        <v>195</v>
      </c>
    </row>
    <row r="31" spans="1:26" x14ac:dyDescent="0.25">
      <c r="A31" s="1" t="s">
        <v>11</v>
      </c>
      <c r="B31" s="12">
        <v>5.5</v>
      </c>
      <c r="C31" s="86" t="str">
        <f t="shared" si="0"/>
        <v>SlimFix 8/8 5,5</v>
      </c>
      <c r="D31" s="7">
        <v>8</v>
      </c>
      <c r="E31" s="10">
        <v>14</v>
      </c>
      <c r="F31" s="7" t="s">
        <v>128</v>
      </c>
      <c r="G31" s="7">
        <v>100</v>
      </c>
      <c r="H31" s="94">
        <f>CEILING(SlimFix!$D$32*SlimFix!$J$44/1020,1)</f>
        <v>0</v>
      </c>
      <c r="I31" s="94">
        <f>CEILING(SlimFix!$D$50*SlimFix!$J$57/1020,1)</f>
        <v>0</v>
      </c>
      <c r="J31" s="7">
        <f>((H31*SlimFix!$D$35)+(I31*SlimFix!$D$52))*3</f>
        <v>0</v>
      </c>
      <c r="K31" s="5" t="s">
        <v>150</v>
      </c>
      <c r="L31" s="5">
        <v>50</v>
      </c>
      <c r="M31" s="5">
        <v>8</v>
      </c>
      <c r="N31" s="5" t="e">
        <f>IF(calcu!$I$29&lt;=0,0,calcu!$I$29)</f>
        <v>#N/A</v>
      </c>
      <c r="O31" s="5" t="e">
        <f>IF(OR(I31=0,calcu!$T$29&lt;=0),0,calcu!$T$29)</f>
        <v>#N/A</v>
      </c>
      <c r="P31" s="5" t="e">
        <f t="shared" si="1"/>
        <v>#N/A</v>
      </c>
      <c r="R31" s="13" t="str">
        <f t="shared" si="2"/>
        <v>Schroef 260xØ6</v>
      </c>
      <c r="S31" s="7">
        <f t="shared" si="11"/>
        <v>0</v>
      </c>
      <c r="T31" s="6" t="str">
        <f t="shared" si="12"/>
        <v>Schroef 260xØ8</v>
      </c>
      <c r="U31" s="5" t="e">
        <f t="shared" si="13"/>
        <v>#N/A</v>
      </c>
      <c r="V31" s="96" t="e">
        <f t="shared" si="10"/>
        <v>#N/A</v>
      </c>
      <c r="W31" s="4">
        <f>CEILING((H31*(SlimFix!$J$32/1000))+(I31*(SlimFix!$J$50/1000)),1)</f>
        <v>0</v>
      </c>
      <c r="X31" t="s">
        <v>191</v>
      </c>
      <c r="Y31" s="109">
        <v>3</v>
      </c>
      <c r="Z31" t="s">
        <v>195</v>
      </c>
    </row>
    <row r="32" spans="1:26" x14ac:dyDescent="0.25">
      <c r="A32" s="1" t="s">
        <v>11</v>
      </c>
      <c r="B32" s="12">
        <v>6</v>
      </c>
      <c r="C32" s="86" t="str">
        <f t="shared" si="0"/>
        <v>SlimFix 8/8 6</v>
      </c>
      <c r="D32" s="7">
        <v>8</v>
      </c>
      <c r="E32" s="10">
        <v>14</v>
      </c>
      <c r="F32" s="7" t="s">
        <v>129</v>
      </c>
      <c r="G32" s="7">
        <v>100</v>
      </c>
      <c r="H32" s="94">
        <f>CEILING(SlimFix!$D$32*SlimFix!$J$44/1020,1)</f>
        <v>0</v>
      </c>
      <c r="I32" s="94">
        <f>CEILING(SlimFix!$D$50*SlimFix!$J$57/1020,1)</f>
        <v>0</v>
      </c>
      <c r="J32" s="7">
        <f>((H32*SlimFix!$D$35)+(I32*SlimFix!$D$52))*3</f>
        <v>0</v>
      </c>
      <c r="K32" s="5" t="s">
        <v>150</v>
      </c>
      <c r="L32" s="5">
        <v>50</v>
      </c>
      <c r="M32" s="5">
        <v>8</v>
      </c>
      <c r="N32" s="5" t="e">
        <f>IF(calcu!$I$29&lt;=0,0,calcu!$I$29)</f>
        <v>#N/A</v>
      </c>
      <c r="O32" s="5" t="e">
        <f>IF(OR(I32=0,calcu!$T$29&lt;=0),0,calcu!$T$29)</f>
        <v>#N/A</v>
      </c>
      <c r="P32" s="5" t="e">
        <f t="shared" si="1"/>
        <v>#N/A</v>
      </c>
      <c r="R32" s="13" t="str">
        <f t="shared" si="2"/>
        <v>Schroef 280xØ6</v>
      </c>
      <c r="S32" s="7">
        <f t="shared" si="11"/>
        <v>0</v>
      </c>
      <c r="T32" s="6" t="str">
        <f t="shared" si="12"/>
        <v>Schroef 260xØ8</v>
      </c>
      <c r="U32" s="5" t="e">
        <f t="shared" si="13"/>
        <v>#N/A</v>
      </c>
      <c r="V32" s="96" t="e">
        <f t="shared" si="10"/>
        <v>#N/A</v>
      </c>
      <c r="W32" s="4">
        <f>CEILING((H32*(SlimFix!$J$32/1000))+(I32*(SlimFix!$J$50/1000)),1)</f>
        <v>0</v>
      </c>
      <c r="X32" t="s">
        <v>191</v>
      </c>
      <c r="Y32" s="109">
        <v>3</v>
      </c>
      <c r="Z32" t="s">
        <v>195</v>
      </c>
    </row>
    <row r="33" spans="1:26" x14ac:dyDescent="0.25">
      <c r="A33" s="1" t="s">
        <v>11</v>
      </c>
      <c r="B33" s="12">
        <v>6.3</v>
      </c>
      <c r="C33" s="86" t="str">
        <f t="shared" si="0"/>
        <v>SlimFix 8/8 6,3</v>
      </c>
      <c r="D33" s="7">
        <v>8</v>
      </c>
      <c r="E33" s="10">
        <v>14.5</v>
      </c>
      <c r="F33" s="7" t="s">
        <v>129</v>
      </c>
      <c r="G33" s="7">
        <v>100</v>
      </c>
      <c r="H33" s="94">
        <f>CEILING(SlimFix!$D$32*SlimFix!$J$44/1020,1)</f>
        <v>0</v>
      </c>
      <c r="I33" s="94">
        <f>CEILING(SlimFix!$D$50*SlimFix!$J$57/1020,1)</f>
        <v>0</v>
      </c>
      <c r="J33" s="7">
        <f>((H33*SlimFix!$D$35)+(I33*SlimFix!$D$52))*3</f>
        <v>0</v>
      </c>
      <c r="K33" s="5" t="s">
        <v>150</v>
      </c>
      <c r="L33" s="5">
        <v>50</v>
      </c>
      <c r="M33" s="5">
        <v>8</v>
      </c>
      <c r="N33" s="5" t="e">
        <f>IF(calcu!$I$29&lt;=0,0,calcu!$I$29)</f>
        <v>#N/A</v>
      </c>
      <c r="O33" s="5" t="e">
        <f>IF(OR(I33=0,calcu!$T$29&lt;=0),0,calcu!$T$29)</f>
        <v>#N/A</v>
      </c>
      <c r="P33" s="5" t="e">
        <f t="shared" si="1"/>
        <v>#N/A</v>
      </c>
      <c r="R33" s="13" t="str">
        <f t="shared" si="2"/>
        <v>Schroef 280xØ6</v>
      </c>
      <c r="S33" s="7">
        <f t="shared" si="11"/>
        <v>0</v>
      </c>
      <c r="T33" s="6" t="str">
        <f t="shared" si="12"/>
        <v>Schroef 260xØ8</v>
      </c>
      <c r="U33" s="5" t="e">
        <f t="shared" si="13"/>
        <v>#N/A</v>
      </c>
      <c r="V33" s="96" t="e">
        <f t="shared" si="10"/>
        <v>#N/A</v>
      </c>
      <c r="W33" s="4">
        <f>CEILING((H33*(SlimFix!$J$32/1000))+(I33*(SlimFix!$J$50/1000)),1)</f>
        <v>0</v>
      </c>
      <c r="X33" t="s">
        <v>191</v>
      </c>
      <c r="Y33" s="109">
        <v>3</v>
      </c>
      <c r="Z33" t="s">
        <v>195</v>
      </c>
    </row>
    <row r="34" spans="1:26" x14ac:dyDescent="0.25">
      <c r="A34" s="1" t="s">
        <v>11</v>
      </c>
      <c r="B34" s="12">
        <v>7</v>
      </c>
      <c r="C34" s="86" t="str">
        <f t="shared" si="0"/>
        <v>SlimFix 8/8 7</v>
      </c>
      <c r="D34" s="7">
        <v>8</v>
      </c>
      <c r="E34" s="10">
        <v>15</v>
      </c>
      <c r="F34" s="7" t="s">
        <v>130</v>
      </c>
      <c r="G34" s="7">
        <v>100</v>
      </c>
      <c r="H34" s="94">
        <f>CEILING(SlimFix!$D$32*SlimFix!$J$44/1020,1)</f>
        <v>0</v>
      </c>
      <c r="I34" s="94">
        <f>CEILING(SlimFix!$D$50*SlimFix!$J$57/1020,1)</f>
        <v>0</v>
      </c>
      <c r="J34" s="7">
        <f>((H34*SlimFix!$D$35)+(I34*SlimFix!$D$52))*3</f>
        <v>0</v>
      </c>
      <c r="K34" s="5" t="s">
        <v>151</v>
      </c>
      <c r="L34" s="5">
        <v>50</v>
      </c>
      <c r="M34" s="5">
        <v>8</v>
      </c>
      <c r="N34" s="5" t="e">
        <f>IF(calcu!$I$29&lt;=0,0,calcu!$I$29)</f>
        <v>#N/A</v>
      </c>
      <c r="O34" s="5" t="e">
        <f>IF(OR(I34=0,calcu!$T$29&lt;=0),0,calcu!$T$29)</f>
        <v>#N/A</v>
      </c>
      <c r="P34" s="5" t="e">
        <f t="shared" si="1"/>
        <v>#N/A</v>
      </c>
      <c r="R34" s="13" t="str">
        <f t="shared" si="2"/>
        <v>Schroef 300xØ6</v>
      </c>
      <c r="S34" s="7">
        <f t="shared" si="11"/>
        <v>0</v>
      </c>
      <c r="T34" s="6" t="str">
        <f t="shared" si="12"/>
        <v>Schroef 280xØ8</v>
      </c>
      <c r="U34" s="5" t="e">
        <f t="shared" si="13"/>
        <v>#N/A</v>
      </c>
      <c r="V34" s="96" t="e">
        <f t="shared" si="10"/>
        <v>#N/A</v>
      </c>
      <c r="W34" s="4">
        <f>CEILING((H34*(SlimFix!$J$32/1000))+(I34*(SlimFix!$J$50/1000)),1)</f>
        <v>0</v>
      </c>
      <c r="X34" t="s">
        <v>191</v>
      </c>
      <c r="Y34" s="109">
        <v>3</v>
      </c>
      <c r="Z34" t="s">
        <v>195</v>
      </c>
    </row>
    <row r="35" spans="1:26" x14ac:dyDescent="0.25">
      <c r="A35" s="1" t="s">
        <v>12</v>
      </c>
      <c r="B35" s="27">
        <v>2.5</v>
      </c>
      <c r="C35" s="86" t="str">
        <f t="shared" si="0"/>
        <v>SlimFix 8/8L 2,5</v>
      </c>
      <c r="D35" s="7">
        <v>8</v>
      </c>
      <c r="E35" s="10">
        <v>14</v>
      </c>
      <c r="F35" s="7" t="s">
        <v>123</v>
      </c>
      <c r="G35" s="7">
        <v>100</v>
      </c>
      <c r="H35" s="94">
        <f>CEILING(SlimFix!$D$32*SlimFix!$J$44/1020,1)</f>
        <v>0</v>
      </c>
      <c r="I35" s="94">
        <f>CEILING(SlimFix!$D$50*SlimFix!$J$57/1020,1)</f>
        <v>0</v>
      </c>
      <c r="J35" s="7">
        <f>((H35*SlimFix!$D$35)+(I35*SlimFix!$D$52))*3</f>
        <v>0</v>
      </c>
      <c r="K35" s="5" t="s">
        <v>123</v>
      </c>
      <c r="L35" s="5">
        <v>100</v>
      </c>
      <c r="M35" s="5">
        <v>6</v>
      </c>
      <c r="N35" s="5" t="e">
        <f>IF(calcu!$I$28&lt;=0,0,calcu!$I$28)</f>
        <v>#N/A</v>
      </c>
      <c r="O35" s="5" t="e">
        <f>IF(OR(I35=0,calcu!$T$28&lt;=0),0,calcu!$T$28)</f>
        <v>#N/A</v>
      </c>
      <c r="P35" s="5" t="e">
        <f t="shared" si="1"/>
        <v>#N/A</v>
      </c>
      <c r="R35" s="13" t="str">
        <f t="shared" si="2"/>
        <v>Schroef 160xØ6</v>
      </c>
      <c r="S35" s="7" t="e">
        <f>CEILING((J35+P35)/G35,1)</f>
        <v>#N/A</v>
      </c>
      <c r="T35" s="9"/>
      <c r="U35" s="10"/>
      <c r="V35" s="96" t="e">
        <f t="shared" si="10"/>
        <v>#N/A</v>
      </c>
      <c r="W35" s="4">
        <f>CEILING((H35*(SlimFix!$J$32/1000))+(I35*(SlimFix!$J$50/1000)),1)</f>
        <v>0</v>
      </c>
      <c r="X35" t="s">
        <v>191</v>
      </c>
      <c r="Y35" s="109">
        <v>3</v>
      </c>
      <c r="Z35" t="s">
        <v>195</v>
      </c>
    </row>
    <row r="36" spans="1:26" x14ac:dyDescent="0.25">
      <c r="A36" s="1" t="s">
        <v>12</v>
      </c>
      <c r="B36" s="12">
        <v>3</v>
      </c>
      <c r="C36" s="86" t="str">
        <f t="shared" si="0"/>
        <v>SlimFix 8/8L 3</v>
      </c>
      <c r="D36" s="7">
        <v>8</v>
      </c>
      <c r="E36" s="10">
        <v>15</v>
      </c>
      <c r="F36" s="7" t="s">
        <v>124</v>
      </c>
      <c r="G36" s="7">
        <v>100</v>
      </c>
      <c r="H36" s="94">
        <f>CEILING(SlimFix!$D$32*SlimFix!$J$44/1020,1)</f>
        <v>0</v>
      </c>
      <c r="I36" s="94">
        <f>CEILING(SlimFix!$D$50*SlimFix!$J$57/1020,1)</f>
        <v>0</v>
      </c>
      <c r="J36" s="7">
        <f>((H36*SlimFix!$D$35)+(I36*SlimFix!$D$52))*3</f>
        <v>0</v>
      </c>
      <c r="K36" s="5" t="s">
        <v>124</v>
      </c>
      <c r="L36" s="5">
        <v>100</v>
      </c>
      <c r="M36" s="5">
        <v>6</v>
      </c>
      <c r="N36" s="5" t="e">
        <f>IF(calcu!$I$28&lt;=0,0,calcu!$I$28)</f>
        <v>#N/A</v>
      </c>
      <c r="O36" s="5" t="e">
        <f>IF(OR(I36=0,calcu!$T$28&lt;=0),0,calcu!$T$28)</f>
        <v>#N/A</v>
      </c>
      <c r="P36" s="5" t="e">
        <f t="shared" si="1"/>
        <v>#N/A</v>
      </c>
      <c r="R36" s="13" t="str">
        <f t="shared" si="2"/>
        <v>Schroef 180xØ6</v>
      </c>
      <c r="S36" s="7" t="e">
        <f>CEILING((J36+P36)/G36,1)</f>
        <v>#N/A</v>
      </c>
      <c r="T36" s="9"/>
      <c r="U36" s="10"/>
      <c r="V36" s="96" t="e">
        <f t="shared" si="10"/>
        <v>#N/A</v>
      </c>
      <c r="W36" s="4">
        <f>CEILING((H36*(SlimFix!$J$32/1000))+(I36*(SlimFix!$J$50/1000)),1)</f>
        <v>0</v>
      </c>
      <c r="X36" t="s">
        <v>191</v>
      </c>
      <c r="Y36" s="109">
        <v>3</v>
      </c>
      <c r="Z36" t="s">
        <v>195</v>
      </c>
    </row>
    <row r="37" spans="1:26" x14ac:dyDescent="0.25">
      <c r="A37" s="1" t="s">
        <v>12</v>
      </c>
      <c r="B37" s="12">
        <v>3.5</v>
      </c>
      <c r="C37" s="86" t="str">
        <f t="shared" ref="C37:C76" si="14">A37&amp;" "&amp;B37</f>
        <v>SlimFix 8/8L 3,5</v>
      </c>
      <c r="D37" s="7">
        <v>8</v>
      </c>
      <c r="E37" s="10">
        <v>15.5</v>
      </c>
      <c r="F37" s="7" t="s">
        <v>126</v>
      </c>
      <c r="G37" s="7">
        <v>100</v>
      </c>
      <c r="H37" s="94">
        <f>CEILING(SlimFix!$D$32*SlimFix!$J$44/1020,1)</f>
        <v>0</v>
      </c>
      <c r="I37" s="94">
        <f>CEILING(SlimFix!$D$50*SlimFix!$J$57/1020,1)</f>
        <v>0</v>
      </c>
      <c r="J37" s="7">
        <f>((H37*SlimFix!$D$35)+(I37*SlimFix!$D$52))*3</f>
        <v>0</v>
      </c>
      <c r="K37" s="5" t="s">
        <v>148</v>
      </c>
      <c r="L37" s="5">
        <v>50</v>
      </c>
      <c r="M37" s="5">
        <v>8</v>
      </c>
      <c r="N37" s="5" t="e">
        <f>IF(calcu!$I$29&lt;=0,0,calcu!$I$29)</f>
        <v>#N/A</v>
      </c>
      <c r="O37" s="5" t="e">
        <f>IF(OR(I37=0,calcu!$T$29&lt;=0),0,calcu!$T$29)</f>
        <v>#N/A</v>
      </c>
      <c r="P37" s="5" t="e">
        <f t="shared" si="1"/>
        <v>#N/A</v>
      </c>
      <c r="R37" s="13" t="str">
        <f t="shared" si="2"/>
        <v>Schroef 220xØ6</v>
      </c>
      <c r="S37" s="7">
        <f t="shared" ref="S37:S43" si="15">CEILING(J37/G37,1)</f>
        <v>0</v>
      </c>
      <c r="T37" s="6" t="str">
        <f t="shared" ref="T37:T44" si="16">K37</f>
        <v>Schroef 200xØ8</v>
      </c>
      <c r="U37" s="5" t="e">
        <f t="shared" ref="U37:U43" si="17">CEILING(P37/L37,1)</f>
        <v>#N/A</v>
      </c>
      <c r="V37" s="96" t="e">
        <f t="shared" si="10"/>
        <v>#N/A</v>
      </c>
      <c r="W37" s="4">
        <f>CEILING((H37*(SlimFix!$J$32/1000))+(I37*(SlimFix!$J$50/1000)),1)</f>
        <v>0</v>
      </c>
      <c r="X37" t="s">
        <v>191</v>
      </c>
      <c r="Y37" s="109">
        <v>3</v>
      </c>
      <c r="Z37" t="s">
        <v>195</v>
      </c>
    </row>
    <row r="38" spans="1:26" x14ac:dyDescent="0.25">
      <c r="A38" s="1" t="s">
        <v>12</v>
      </c>
      <c r="B38" s="12">
        <v>4</v>
      </c>
      <c r="C38" s="86" t="str">
        <f t="shared" si="14"/>
        <v>SlimFix 8/8L 4</v>
      </c>
      <c r="D38" s="7">
        <v>8</v>
      </c>
      <c r="E38" s="10">
        <v>16</v>
      </c>
      <c r="F38" s="7" t="s">
        <v>126</v>
      </c>
      <c r="G38" s="7">
        <v>100</v>
      </c>
      <c r="H38" s="94">
        <f>CEILING(SlimFix!$D$32*SlimFix!$J$44/1020,1)</f>
        <v>0</v>
      </c>
      <c r="I38" s="94">
        <f>CEILING(SlimFix!$D$50*SlimFix!$J$57/1020,1)</f>
        <v>0</v>
      </c>
      <c r="J38" s="7">
        <f>((H38*SlimFix!$D$35)+(I38*SlimFix!$D$52))*3</f>
        <v>0</v>
      </c>
      <c r="K38" s="5" t="s">
        <v>153</v>
      </c>
      <c r="L38" s="5">
        <v>50</v>
      </c>
      <c r="M38" s="5">
        <v>8</v>
      </c>
      <c r="N38" s="5" t="e">
        <f>IF(calcu!$I$29&lt;=0,0,calcu!$I$29)</f>
        <v>#N/A</v>
      </c>
      <c r="O38" s="5" t="e">
        <f>IF(OR(I38=0,calcu!$T$29&lt;=0),0,calcu!$T$29)</f>
        <v>#N/A</v>
      </c>
      <c r="P38" s="5" t="e">
        <f t="shared" si="1"/>
        <v>#N/A</v>
      </c>
      <c r="R38" s="13" t="str">
        <f t="shared" si="2"/>
        <v>Schroef 220xØ6</v>
      </c>
      <c r="S38" s="7">
        <f t="shared" si="15"/>
        <v>0</v>
      </c>
      <c r="T38" s="6" t="str">
        <f t="shared" si="16"/>
        <v>Schroef 220xØ8</v>
      </c>
      <c r="U38" s="5" t="e">
        <f t="shared" si="17"/>
        <v>#N/A</v>
      </c>
      <c r="V38" s="96" t="e">
        <f t="shared" si="10"/>
        <v>#N/A</v>
      </c>
      <c r="W38" s="4">
        <f>CEILING((H38*(SlimFix!$J$32/1000))+(I38*(SlimFix!$J$50/1000)),1)</f>
        <v>0</v>
      </c>
      <c r="X38" t="s">
        <v>191</v>
      </c>
      <c r="Y38" s="109">
        <v>3</v>
      </c>
      <c r="Z38" t="s">
        <v>195</v>
      </c>
    </row>
    <row r="39" spans="1:26" x14ac:dyDescent="0.25">
      <c r="A39" s="1" t="s">
        <v>12</v>
      </c>
      <c r="B39" s="12">
        <v>4.5</v>
      </c>
      <c r="C39" s="86" t="str">
        <f t="shared" si="14"/>
        <v>SlimFix 8/8L 4,5</v>
      </c>
      <c r="D39" s="7">
        <v>8</v>
      </c>
      <c r="E39" s="10">
        <v>17</v>
      </c>
      <c r="F39" s="7" t="s">
        <v>127</v>
      </c>
      <c r="G39" s="7">
        <v>100</v>
      </c>
      <c r="H39" s="94">
        <f>CEILING(SlimFix!$D$32*SlimFix!$J$44/1020,1)</f>
        <v>0</v>
      </c>
      <c r="I39" s="94">
        <f>CEILING(SlimFix!$D$50*SlimFix!$J$57/1020,1)</f>
        <v>0</v>
      </c>
      <c r="J39" s="7">
        <f>((H39*SlimFix!$D$35)+(I39*SlimFix!$D$52))*3</f>
        <v>0</v>
      </c>
      <c r="K39" s="5" t="s">
        <v>149</v>
      </c>
      <c r="L39" s="5">
        <v>50</v>
      </c>
      <c r="M39" s="5">
        <v>8</v>
      </c>
      <c r="N39" s="5" t="e">
        <f>IF(calcu!$I$29&lt;=0,0,calcu!$I$29)</f>
        <v>#N/A</v>
      </c>
      <c r="O39" s="5" t="e">
        <f>IF(OR(I39=0,calcu!$T$29&lt;=0),0,calcu!$T$29)</f>
        <v>#N/A</v>
      </c>
      <c r="P39" s="5" t="e">
        <f t="shared" si="1"/>
        <v>#N/A</v>
      </c>
      <c r="R39" s="13" t="str">
        <f t="shared" si="2"/>
        <v>Schroef 240xØ6</v>
      </c>
      <c r="S39" s="7">
        <f t="shared" si="15"/>
        <v>0</v>
      </c>
      <c r="T39" s="6" t="str">
        <f t="shared" si="16"/>
        <v>Schroef 240xØ8</v>
      </c>
      <c r="U39" s="5" t="e">
        <f t="shared" si="17"/>
        <v>#N/A</v>
      </c>
      <c r="V39" s="96" t="e">
        <f t="shared" si="10"/>
        <v>#N/A</v>
      </c>
      <c r="W39" s="4">
        <f>CEILING((H39*(SlimFix!$J$32/1000))+(I39*(SlimFix!$J$50/1000)),1)</f>
        <v>0</v>
      </c>
      <c r="X39" t="s">
        <v>191</v>
      </c>
      <c r="Y39" s="109">
        <v>3</v>
      </c>
      <c r="Z39" t="s">
        <v>195</v>
      </c>
    </row>
    <row r="40" spans="1:26" x14ac:dyDescent="0.25">
      <c r="A40" s="1" t="s">
        <v>12</v>
      </c>
      <c r="B40" s="12">
        <v>5</v>
      </c>
      <c r="C40" s="86" t="str">
        <f t="shared" si="14"/>
        <v>SlimFix 8/8L 5</v>
      </c>
      <c r="D40" s="7">
        <v>8</v>
      </c>
      <c r="E40" s="10">
        <v>17.5</v>
      </c>
      <c r="F40" s="7" t="s">
        <v>128</v>
      </c>
      <c r="G40" s="7">
        <v>100</v>
      </c>
      <c r="H40" s="94">
        <f>CEILING(SlimFix!$D$32*SlimFix!$J$44/1020,1)</f>
        <v>0</v>
      </c>
      <c r="I40" s="94">
        <f>CEILING(SlimFix!$D$50*SlimFix!$J$57/1020,1)</f>
        <v>0</v>
      </c>
      <c r="J40" s="7">
        <f>((H40*SlimFix!$D$35)+(I40*SlimFix!$D$52))*3</f>
        <v>0</v>
      </c>
      <c r="K40" s="5" t="s">
        <v>150</v>
      </c>
      <c r="L40" s="5">
        <v>50</v>
      </c>
      <c r="M40" s="5">
        <v>8</v>
      </c>
      <c r="N40" s="5" t="e">
        <f>IF(calcu!$I$29&lt;=0,0,calcu!$I$29)</f>
        <v>#N/A</v>
      </c>
      <c r="O40" s="5" t="e">
        <f>IF(OR(I40=0,calcu!$T$29&lt;=0),0,calcu!$T$29)</f>
        <v>#N/A</v>
      </c>
      <c r="P40" s="5" t="e">
        <f t="shared" si="1"/>
        <v>#N/A</v>
      </c>
      <c r="R40" s="13" t="str">
        <f t="shared" si="2"/>
        <v>Schroef 260xØ6</v>
      </c>
      <c r="S40" s="7">
        <f t="shared" si="15"/>
        <v>0</v>
      </c>
      <c r="T40" s="6" t="str">
        <f t="shared" si="16"/>
        <v>Schroef 260xØ8</v>
      </c>
      <c r="U40" s="5" t="e">
        <f t="shared" si="17"/>
        <v>#N/A</v>
      </c>
      <c r="V40" s="96" t="e">
        <f t="shared" si="10"/>
        <v>#N/A</v>
      </c>
      <c r="W40" s="4">
        <f>CEILING((H40*(SlimFix!$J$32/1000))+(I40*(SlimFix!$J$50/1000)),1)</f>
        <v>0</v>
      </c>
      <c r="X40" t="s">
        <v>191</v>
      </c>
      <c r="Y40" s="109">
        <v>3</v>
      </c>
      <c r="Z40" t="s">
        <v>195</v>
      </c>
    </row>
    <row r="41" spans="1:26" x14ac:dyDescent="0.25">
      <c r="A41" s="1" t="s">
        <v>12</v>
      </c>
      <c r="B41" s="12">
        <v>5.5</v>
      </c>
      <c r="C41" s="86" t="str">
        <f t="shared" si="14"/>
        <v>SlimFix 8/8L 5,5</v>
      </c>
      <c r="D41" s="7">
        <v>8</v>
      </c>
      <c r="E41" s="10">
        <v>18</v>
      </c>
      <c r="F41" s="7" t="s">
        <v>129</v>
      </c>
      <c r="G41" s="7">
        <v>100</v>
      </c>
      <c r="H41" s="94">
        <f>CEILING(SlimFix!$D$32*SlimFix!$J$44/1020,1)</f>
        <v>0</v>
      </c>
      <c r="I41" s="94">
        <f>CEILING(SlimFix!$D$50*SlimFix!$J$57/1020,1)</f>
        <v>0</v>
      </c>
      <c r="J41" s="7">
        <f>((H41*SlimFix!$D$35)+(I41*SlimFix!$D$52))*3</f>
        <v>0</v>
      </c>
      <c r="K41" s="5" t="s">
        <v>150</v>
      </c>
      <c r="L41" s="5">
        <v>50</v>
      </c>
      <c r="M41" s="5">
        <v>8</v>
      </c>
      <c r="N41" s="5" t="e">
        <f>IF(calcu!$I$29&lt;=0,0,calcu!$I$29)</f>
        <v>#N/A</v>
      </c>
      <c r="O41" s="5" t="e">
        <f>IF(OR(I41=0,calcu!$T$29&lt;=0),0,calcu!$T$29)</f>
        <v>#N/A</v>
      </c>
      <c r="P41" s="5" t="e">
        <f t="shared" si="1"/>
        <v>#N/A</v>
      </c>
      <c r="R41" s="13" t="str">
        <f t="shared" si="2"/>
        <v>Schroef 280xØ6</v>
      </c>
      <c r="S41" s="7">
        <f t="shared" si="15"/>
        <v>0</v>
      </c>
      <c r="T41" s="6" t="str">
        <f t="shared" si="16"/>
        <v>Schroef 260xØ8</v>
      </c>
      <c r="U41" s="5" t="e">
        <f t="shared" si="17"/>
        <v>#N/A</v>
      </c>
      <c r="V41" s="96" t="e">
        <f t="shared" si="10"/>
        <v>#N/A</v>
      </c>
      <c r="W41" s="4">
        <f>CEILING((H41*(SlimFix!$J$32/1000))+(I41*(SlimFix!$J$50/1000)),1)</f>
        <v>0</v>
      </c>
      <c r="X41" t="s">
        <v>191</v>
      </c>
      <c r="Y41" s="109">
        <v>3</v>
      </c>
      <c r="Z41" t="s">
        <v>195</v>
      </c>
    </row>
    <row r="42" spans="1:26" x14ac:dyDescent="0.25">
      <c r="A42" s="1" t="s">
        <v>12</v>
      </c>
      <c r="B42" s="12">
        <v>6</v>
      </c>
      <c r="C42" s="86" t="str">
        <f t="shared" si="14"/>
        <v>SlimFix 8/8L 6</v>
      </c>
      <c r="D42" s="7">
        <v>8</v>
      </c>
      <c r="E42" s="10">
        <v>18.5</v>
      </c>
      <c r="F42" s="7" t="s">
        <v>130</v>
      </c>
      <c r="G42" s="7">
        <v>100</v>
      </c>
      <c r="H42" s="94">
        <f>CEILING(SlimFix!$D$32*SlimFix!$J$44/1020,1)</f>
        <v>0</v>
      </c>
      <c r="I42" s="94">
        <f>CEILING(SlimFix!$D$50*SlimFix!$J$57/1020,1)</f>
        <v>0</v>
      </c>
      <c r="J42" s="7">
        <f>((H42*SlimFix!$D$35)+(I42*SlimFix!$D$52))*3</f>
        <v>0</v>
      </c>
      <c r="K42" s="5" t="s">
        <v>151</v>
      </c>
      <c r="L42" s="5">
        <v>50</v>
      </c>
      <c r="M42" s="5">
        <v>8</v>
      </c>
      <c r="N42" s="5" t="e">
        <f>IF(calcu!$I$29&lt;=0,0,calcu!$I$29)</f>
        <v>#N/A</v>
      </c>
      <c r="O42" s="5" t="e">
        <f>IF(OR(I42=0,calcu!$T$29&lt;=0),0,calcu!$T$29)</f>
        <v>#N/A</v>
      </c>
      <c r="P42" s="5" t="e">
        <f t="shared" si="1"/>
        <v>#N/A</v>
      </c>
      <c r="R42" s="13" t="str">
        <f t="shared" si="2"/>
        <v>Schroef 300xØ6</v>
      </c>
      <c r="S42" s="7">
        <f t="shared" si="15"/>
        <v>0</v>
      </c>
      <c r="T42" s="6" t="str">
        <f t="shared" si="16"/>
        <v>Schroef 280xØ8</v>
      </c>
      <c r="U42" s="5" t="e">
        <f t="shared" si="17"/>
        <v>#N/A</v>
      </c>
      <c r="V42" s="96" t="e">
        <f t="shared" si="10"/>
        <v>#N/A</v>
      </c>
      <c r="W42" s="4">
        <f>CEILING((H42*(SlimFix!$J$32/1000))+(I42*(SlimFix!$J$50/1000)),1)</f>
        <v>0</v>
      </c>
      <c r="X42" t="s">
        <v>191</v>
      </c>
      <c r="Y42" s="109">
        <v>3</v>
      </c>
      <c r="Z42" t="s">
        <v>195</v>
      </c>
    </row>
    <row r="43" spans="1:26" x14ac:dyDescent="0.25">
      <c r="A43" s="1" t="s">
        <v>12</v>
      </c>
      <c r="B43" s="12">
        <v>6.3</v>
      </c>
      <c r="C43" s="86" t="str">
        <f t="shared" si="14"/>
        <v>SlimFix 8/8L 6,3</v>
      </c>
      <c r="D43" s="7">
        <v>8</v>
      </c>
      <c r="E43" s="10">
        <v>19</v>
      </c>
      <c r="F43" s="7" t="s">
        <v>130</v>
      </c>
      <c r="G43" s="7">
        <v>100</v>
      </c>
      <c r="H43" s="94">
        <f>CEILING(SlimFix!$D$32*SlimFix!$J$44/1020,1)</f>
        <v>0</v>
      </c>
      <c r="I43" s="94">
        <f>CEILING(SlimFix!$D$50*SlimFix!$J$57/1020,1)</f>
        <v>0</v>
      </c>
      <c r="J43" s="7">
        <f>((H43*SlimFix!$D$35)+(I43*SlimFix!$D$52))*3</f>
        <v>0</v>
      </c>
      <c r="K43" s="5" t="s">
        <v>151</v>
      </c>
      <c r="L43" s="5">
        <v>50</v>
      </c>
      <c r="M43" s="5">
        <v>8</v>
      </c>
      <c r="N43" s="5" t="e">
        <f>IF(calcu!$I$29&lt;=0,0,calcu!$I$29)</f>
        <v>#N/A</v>
      </c>
      <c r="O43" s="5" t="e">
        <f>IF(OR(I43=0,calcu!$T$29&lt;=0),0,calcu!$T$29)</f>
        <v>#N/A</v>
      </c>
      <c r="P43" s="5" t="e">
        <f t="shared" si="1"/>
        <v>#N/A</v>
      </c>
      <c r="R43" s="13" t="str">
        <f t="shared" si="2"/>
        <v>Schroef 300xØ6</v>
      </c>
      <c r="S43" s="7">
        <f t="shared" si="15"/>
        <v>0</v>
      </c>
      <c r="T43" s="6" t="str">
        <f t="shared" si="16"/>
        <v>Schroef 280xØ8</v>
      </c>
      <c r="U43" s="5" t="e">
        <f t="shared" si="17"/>
        <v>#N/A</v>
      </c>
      <c r="V43" s="96" t="e">
        <f t="shared" si="10"/>
        <v>#N/A</v>
      </c>
      <c r="W43" s="4">
        <f>CEILING((H43*(SlimFix!$J$32/1000))+(I43*(SlimFix!$J$50/1000)),1)</f>
        <v>0</v>
      </c>
      <c r="X43" t="s">
        <v>191</v>
      </c>
      <c r="Y43" s="109">
        <v>3</v>
      </c>
      <c r="Z43" t="s">
        <v>195</v>
      </c>
    </row>
    <row r="44" spans="1:26" x14ac:dyDescent="0.25">
      <c r="A44" s="1" t="s">
        <v>12</v>
      </c>
      <c r="B44" s="12">
        <v>7</v>
      </c>
      <c r="C44" s="86" t="str">
        <f t="shared" si="14"/>
        <v>SlimFix 8/8L 7</v>
      </c>
      <c r="D44" s="7">
        <v>8</v>
      </c>
      <c r="E44" s="10">
        <v>20</v>
      </c>
      <c r="F44" s="7" t="s">
        <v>132</v>
      </c>
      <c r="G44" s="7">
        <v>50</v>
      </c>
      <c r="H44" s="94">
        <f>CEILING(SlimFix!$D$32*SlimFix!$J$44/1020,1)</f>
        <v>0</v>
      </c>
      <c r="I44" s="94">
        <f>CEILING(SlimFix!$D$50*SlimFix!$J$57/1020,1)</f>
        <v>0</v>
      </c>
      <c r="J44" s="7">
        <f>((H44*SlimFix!$D$35)+(I44*SlimFix!$D$52))*2</f>
        <v>0</v>
      </c>
      <c r="K44" s="5" t="s">
        <v>132</v>
      </c>
      <c r="L44" s="5">
        <v>50</v>
      </c>
      <c r="M44" s="5">
        <v>8</v>
      </c>
      <c r="N44" s="5" t="e">
        <f>IF(calcu!$I$29&lt;=0,0,calcu!$I$29)</f>
        <v>#N/A</v>
      </c>
      <c r="O44" s="5" t="e">
        <f>IF(OR(I44=0,calcu!$T$29&lt;=0),0,calcu!$T$29)</f>
        <v>#N/A</v>
      </c>
      <c r="P44" s="5" t="e">
        <f t="shared" si="1"/>
        <v>#N/A</v>
      </c>
      <c r="R44" s="9"/>
      <c r="S44" s="10"/>
      <c r="T44" s="6" t="str">
        <f t="shared" si="16"/>
        <v>Schroef 320xØ8</v>
      </c>
      <c r="U44" s="5" t="e">
        <f>CEILING((P44+J44)/L44,1)</f>
        <v>#N/A</v>
      </c>
      <c r="V44" s="96" t="e">
        <f>CEILING((P44+J44)/100,1)</f>
        <v>#N/A</v>
      </c>
      <c r="W44" s="4">
        <f>CEILING((H44*(SlimFix!$J$32/1000))+(I44*(SlimFix!$J$50/1000)),1)</f>
        <v>0</v>
      </c>
      <c r="X44" t="s">
        <v>192</v>
      </c>
      <c r="Y44" s="109">
        <v>2</v>
      </c>
      <c r="Z44" t="s">
        <v>195</v>
      </c>
    </row>
    <row r="45" spans="1:26" x14ac:dyDescent="0.25">
      <c r="A45" s="1" t="s">
        <v>37</v>
      </c>
      <c r="B45" s="12" t="s">
        <v>29</v>
      </c>
      <c r="C45" s="86" t="str">
        <f t="shared" si="14"/>
        <v>SlimFix Riet 1.5+4.0</v>
      </c>
      <c r="D45" s="7">
        <v>3</v>
      </c>
      <c r="E45" s="10">
        <v>12</v>
      </c>
      <c r="F45" s="7" t="s">
        <v>133</v>
      </c>
      <c r="G45" s="7">
        <v>100</v>
      </c>
      <c r="H45" s="94">
        <f>CEILING(SlimFix!$D$32*SlimFix!$J$44/1020,1)</f>
        <v>0</v>
      </c>
      <c r="I45" s="94">
        <f>CEILING(SlimFix!$D$50*SlimFix!$J$57/1020,1)</f>
        <v>0</v>
      </c>
      <c r="J45" s="7">
        <f>((H45*(SlimFix!$D$35-1))+(I45*(SlimFix!$D$52-1)))*4</f>
        <v>0</v>
      </c>
      <c r="K45" s="5" t="s">
        <v>133</v>
      </c>
      <c r="L45" s="5">
        <v>100</v>
      </c>
      <c r="M45" s="5">
        <v>6</v>
      </c>
      <c r="N45" s="5" t="e">
        <f>IF(calcu!$I$26&lt;=0,0,calcu!$I$26)</f>
        <v>#N/A</v>
      </c>
      <c r="O45" s="5" t="e">
        <f>IF(OR(I45=0,calcu!$T$26&lt;=0),0,calcu!$T$26)</f>
        <v>#N/A</v>
      </c>
      <c r="P45" s="5" t="e">
        <f>(H45*N45)+(I45*O45)</f>
        <v>#N/A</v>
      </c>
      <c r="R45" s="13" t="str">
        <f t="shared" si="2"/>
        <v>Schroef 120xØ6</v>
      </c>
      <c r="S45" s="7" t="e">
        <f>CEILING((J45+P45)/G45,1)</f>
        <v>#N/A</v>
      </c>
      <c r="T45" s="9"/>
      <c r="U45" s="10"/>
      <c r="V45" s="96" t="e">
        <f>CEILING((J45+P45)/100,1)</f>
        <v>#N/A</v>
      </c>
      <c r="W45" s="4">
        <f>CEILING((H45*(SlimFix!$J$32/1000))+(I45*(SlimFix!$J$50/1000)),1)</f>
        <v>0</v>
      </c>
      <c r="X45" t="s">
        <v>193</v>
      </c>
      <c r="Y45" s="120">
        <v>4</v>
      </c>
      <c r="Z45" t="s">
        <v>194</v>
      </c>
    </row>
    <row r="46" spans="1:26" x14ac:dyDescent="0.25">
      <c r="A46" s="1" t="s">
        <v>37</v>
      </c>
      <c r="B46" s="12" t="s">
        <v>30</v>
      </c>
      <c r="C46" s="86" t="str">
        <f t="shared" si="14"/>
        <v>SlimFix Riet 2.5+4.0</v>
      </c>
      <c r="D46" s="7">
        <v>3</v>
      </c>
      <c r="E46" s="10">
        <v>13</v>
      </c>
      <c r="F46" s="7" t="s">
        <v>134</v>
      </c>
      <c r="G46" s="7">
        <v>100</v>
      </c>
      <c r="H46" s="94">
        <f>CEILING(SlimFix!$D$32*SlimFix!$J$44/1020,1)</f>
        <v>0</v>
      </c>
      <c r="I46" s="94">
        <f>CEILING(SlimFix!$D$50*SlimFix!$J$57/1020,1)</f>
        <v>0</v>
      </c>
      <c r="J46" s="7">
        <f>((H46*(SlimFix!$D$35-1))+(I46*(SlimFix!$D$52-1)))*4</f>
        <v>0</v>
      </c>
      <c r="K46" s="5" t="s">
        <v>134</v>
      </c>
      <c r="L46" s="5">
        <v>100</v>
      </c>
      <c r="M46" s="5">
        <v>6</v>
      </c>
      <c r="N46" s="5" t="e">
        <f>IF(calcu!$I$26&lt;=0,0,calcu!$I$26)</f>
        <v>#N/A</v>
      </c>
      <c r="O46" s="5" t="e">
        <f>IF(OR(I46=0,calcu!$T$26&lt;=0),0,calcu!$T$26)</f>
        <v>#N/A</v>
      </c>
      <c r="P46" s="5" t="e">
        <f t="shared" ref="P46:P52" si="18">(H46*N46)+(I46*O46)</f>
        <v>#N/A</v>
      </c>
      <c r="R46" s="13" t="str">
        <f t="shared" si="2"/>
        <v>Schroef 140xØ6</v>
      </c>
      <c r="S46" s="7" t="e">
        <f t="shared" ref="S46:S52" si="19">CEILING((J46+P46)/G46,1)</f>
        <v>#N/A</v>
      </c>
      <c r="T46" s="9"/>
      <c r="U46" s="10"/>
      <c r="V46" s="96" t="e">
        <f t="shared" ref="V46:V52" si="20">CEILING((J46+P46)/100,1)</f>
        <v>#N/A</v>
      </c>
      <c r="W46" s="4">
        <f>CEILING((H46*(SlimFix!$J$32/1000))+(I46*(SlimFix!$J$50/1000)),1)</f>
        <v>0</v>
      </c>
      <c r="X46" t="s">
        <v>193</v>
      </c>
      <c r="Y46" s="120">
        <v>4</v>
      </c>
      <c r="Z46" t="s">
        <v>194</v>
      </c>
    </row>
    <row r="47" spans="1:26" x14ac:dyDescent="0.25">
      <c r="A47" s="1" t="s">
        <v>37</v>
      </c>
      <c r="B47" s="12" t="s">
        <v>31</v>
      </c>
      <c r="C47" s="86" t="str">
        <f t="shared" si="14"/>
        <v>SlimFix Riet 3.0+4.0</v>
      </c>
      <c r="D47" s="7">
        <v>3</v>
      </c>
      <c r="E47" s="10">
        <v>13.5</v>
      </c>
      <c r="F47" s="7" t="s">
        <v>123</v>
      </c>
      <c r="G47" s="7">
        <v>100</v>
      </c>
      <c r="H47" s="94">
        <f>CEILING(SlimFix!$D$32*SlimFix!$J$44/1020,1)</f>
        <v>0</v>
      </c>
      <c r="I47" s="94">
        <f>CEILING(SlimFix!$D$50*SlimFix!$J$57/1020,1)</f>
        <v>0</v>
      </c>
      <c r="J47" s="7">
        <f>((H47*(SlimFix!$D$35-1))+(I47*(SlimFix!$D$52-1)))*4</f>
        <v>0</v>
      </c>
      <c r="K47" s="5" t="s">
        <v>123</v>
      </c>
      <c r="L47" s="5">
        <v>100</v>
      </c>
      <c r="M47" s="5">
        <v>6</v>
      </c>
      <c r="N47" s="5" t="e">
        <f>IF(calcu!$I$26&lt;=0,0,calcu!$I$26)</f>
        <v>#N/A</v>
      </c>
      <c r="O47" s="5" t="e">
        <f>IF(OR(I47=0,calcu!$T$26&lt;=0),0,calcu!$T$26)</f>
        <v>#N/A</v>
      </c>
      <c r="P47" s="5" t="e">
        <f t="shared" si="18"/>
        <v>#N/A</v>
      </c>
      <c r="R47" s="13" t="str">
        <f t="shared" si="2"/>
        <v>Schroef 160xØ6</v>
      </c>
      <c r="S47" s="7" t="e">
        <f t="shared" si="19"/>
        <v>#N/A</v>
      </c>
      <c r="T47" s="9"/>
      <c r="U47" s="10"/>
      <c r="V47" s="96" t="e">
        <f t="shared" si="20"/>
        <v>#N/A</v>
      </c>
      <c r="W47" s="4">
        <f>CEILING((H47*(SlimFix!$J$32/1000))+(I47*(SlimFix!$J$50/1000)),1)</f>
        <v>0</v>
      </c>
      <c r="X47" t="s">
        <v>193</v>
      </c>
      <c r="Y47" s="120">
        <v>4</v>
      </c>
      <c r="Z47" t="s">
        <v>194</v>
      </c>
    </row>
    <row r="48" spans="1:26" x14ac:dyDescent="0.25">
      <c r="A48" s="1" t="s">
        <v>37</v>
      </c>
      <c r="B48" s="12" t="s">
        <v>32</v>
      </c>
      <c r="C48" s="86" t="str">
        <f t="shared" si="14"/>
        <v>SlimFix Riet 3.5+4.0</v>
      </c>
      <c r="D48" s="7">
        <v>3</v>
      </c>
      <c r="E48" s="10">
        <v>14</v>
      </c>
      <c r="F48" s="7" t="s">
        <v>124</v>
      </c>
      <c r="G48" s="7">
        <v>100</v>
      </c>
      <c r="H48" s="94">
        <f>CEILING(SlimFix!$D$32*SlimFix!$J$44/1020,1)</f>
        <v>0</v>
      </c>
      <c r="I48" s="94">
        <f>CEILING(SlimFix!$D$50*SlimFix!$J$57/1020,1)</f>
        <v>0</v>
      </c>
      <c r="J48" s="7">
        <f>((H48*(SlimFix!$D$35-1))+(I48*(SlimFix!$D$52-1)))*4</f>
        <v>0</v>
      </c>
      <c r="K48" s="5" t="s">
        <v>124</v>
      </c>
      <c r="L48" s="5">
        <v>100</v>
      </c>
      <c r="M48" s="5">
        <v>6</v>
      </c>
      <c r="N48" s="5" t="e">
        <f>IF(calcu!$I$26&lt;=0,0,calcu!$I$26)</f>
        <v>#N/A</v>
      </c>
      <c r="O48" s="5" t="e">
        <f>IF(OR(I48=0,calcu!$T$26&lt;=0),0,calcu!$T$26)</f>
        <v>#N/A</v>
      </c>
      <c r="P48" s="5" t="e">
        <f t="shared" si="18"/>
        <v>#N/A</v>
      </c>
      <c r="R48" s="13" t="str">
        <f t="shared" si="2"/>
        <v>Schroef 180xØ6</v>
      </c>
      <c r="S48" s="7" t="e">
        <f t="shared" si="19"/>
        <v>#N/A</v>
      </c>
      <c r="T48" s="9"/>
      <c r="U48" s="10"/>
      <c r="V48" s="96" t="e">
        <f t="shared" si="20"/>
        <v>#N/A</v>
      </c>
      <c r="W48" s="4">
        <f>CEILING((H48*(SlimFix!$J$32/1000))+(I48*(SlimFix!$J$50/1000)),1)</f>
        <v>0</v>
      </c>
      <c r="X48" t="s">
        <v>193</v>
      </c>
      <c r="Y48" s="120">
        <v>4</v>
      </c>
      <c r="Z48" t="s">
        <v>194</v>
      </c>
    </row>
    <row r="49" spans="1:26" x14ac:dyDescent="0.25">
      <c r="A49" s="1" t="s">
        <v>37</v>
      </c>
      <c r="B49" s="12" t="s">
        <v>33</v>
      </c>
      <c r="C49" s="86" t="str">
        <f t="shared" si="14"/>
        <v>SlimFix Riet 4.0+4.0</v>
      </c>
      <c r="D49" s="7">
        <v>3</v>
      </c>
      <c r="E49" s="10">
        <v>15</v>
      </c>
      <c r="F49" s="7" t="s">
        <v>125</v>
      </c>
      <c r="G49" s="7">
        <v>100</v>
      </c>
      <c r="H49" s="94">
        <f>CEILING(SlimFix!$D$32*SlimFix!$J$44/1020,1)</f>
        <v>0</v>
      </c>
      <c r="I49" s="94">
        <f>CEILING(SlimFix!$D$50*SlimFix!$J$57/1020,1)</f>
        <v>0</v>
      </c>
      <c r="J49" s="7">
        <f>((H49*(SlimFix!$D$35-1))+(I49*(SlimFix!$D$52-1)))*4</f>
        <v>0</v>
      </c>
      <c r="K49" s="5" t="s">
        <v>125</v>
      </c>
      <c r="L49" s="5">
        <v>100</v>
      </c>
      <c r="M49" s="5">
        <v>6</v>
      </c>
      <c r="N49" s="5" t="e">
        <f>IF(calcu!$I$26&lt;=0,0,calcu!$I$26)</f>
        <v>#N/A</v>
      </c>
      <c r="O49" s="5" t="e">
        <f>IF(OR(I49=0,calcu!$T$26&lt;=0),0,calcu!$T$26)</f>
        <v>#N/A</v>
      </c>
      <c r="P49" s="5" t="e">
        <f t="shared" si="18"/>
        <v>#N/A</v>
      </c>
      <c r="R49" s="13" t="str">
        <f t="shared" si="2"/>
        <v>Schroef 200xØ6</v>
      </c>
      <c r="S49" s="7" t="e">
        <f t="shared" si="19"/>
        <v>#N/A</v>
      </c>
      <c r="T49" s="9"/>
      <c r="U49" s="10"/>
      <c r="V49" s="96" t="e">
        <f t="shared" si="20"/>
        <v>#N/A</v>
      </c>
      <c r="W49" s="4">
        <f>CEILING((H49*(SlimFix!$J$32/1000))+(I49*(SlimFix!$J$50/1000)),1)</f>
        <v>0</v>
      </c>
      <c r="X49" t="s">
        <v>193</v>
      </c>
      <c r="Y49" s="120">
        <v>4</v>
      </c>
      <c r="Z49" t="s">
        <v>194</v>
      </c>
    </row>
    <row r="50" spans="1:26" x14ac:dyDescent="0.25">
      <c r="A50" s="1" t="s">
        <v>37</v>
      </c>
      <c r="B50" s="12" t="s">
        <v>34</v>
      </c>
      <c r="C50" s="86" t="str">
        <f t="shared" si="14"/>
        <v>SlimFix Riet 4.5+4.0</v>
      </c>
      <c r="D50" s="7">
        <v>3</v>
      </c>
      <c r="E50" s="10">
        <v>15</v>
      </c>
      <c r="F50" s="7" t="s">
        <v>126</v>
      </c>
      <c r="G50" s="7">
        <v>100</v>
      </c>
      <c r="H50" s="94">
        <f>CEILING(SlimFix!$D$32*SlimFix!$J$44/1020,1)</f>
        <v>0</v>
      </c>
      <c r="I50" s="94">
        <f>CEILING(SlimFix!$D$50*SlimFix!$J$57/1020,1)</f>
        <v>0</v>
      </c>
      <c r="J50" s="7">
        <f>((H50*(SlimFix!$D$35-1))+(I50*(SlimFix!$D$52-1)))*4</f>
        <v>0</v>
      </c>
      <c r="K50" s="5" t="s">
        <v>126</v>
      </c>
      <c r="L50" s="5">
        <v>100</v>
      </c>
      <c r="M50" s="5">
        <v>6</v>
      </c>
      <c r="N50" s="5" t="e">
        <f>IF(calcu!$I$26&lt;=0,0,calcu!$I$26)</f>
        <v>#N/A</v>
      </c>
      <c r="O50" s="5" t="e">
        <f>IF(OR(I50=0,calcu!$T$26&lt;=0),0,calcu!$T$26)</f>
        <v>#N/A</v>
      </c>
      <c r="P50" s="5" t="e">
        <f t="shared" si="18"/>
        <v>#N/A</v>
      </c>
      <c r="R50" s="13" t="str">
        <f t="shared" si="2"/>
        <v>Schroef 220xØ6</v>
      </c>
      <c r="S50" s="7" t="e">
        <f t="shared" si="19"/>
        <v>#N/A</v>
      </c>
      <c r="T50" s="9"/>
      <c r="U50" s="10"/>
      <c r="V50" s="96" t="e">
        <f t="shared" si="20"/>
        <v>#N/A</v>
      </c>
      <c r="W50" s="4">
        <f>CEILING((H50*(SlimFix!$J$32/1000))+(I50*(SlimFix!$J$50/1000)),1)</f>
        <v>0</v>
      </c>
      <c r="X50" t="s">
        <v>193</v>
      </c>
      <c r="Y50" s="120">
        <v>4</v>
      </c>
      <c r="Z50" t="s">
        <v>194</v>
      </c>
    </row>
    <row r="51" spans="1:26" x14ac:dyDescent="0.25">
      <c r="A51" s="1" t="s">
        <v>37</v>
      </c>
      <c r="B51" s="12" t="s">
        <v>35</v>
      </c>
      <c r="C51" s="86" t="str">
        <f t="shared" si="14"/>
        <v>SlimFix Riet 5.5+4.0</v>
      </c>
      <c r="D51" s="7">
        <v>3</v>
      </c>
      <c r="E51" s="10">
        <v>17</v>
      </c>
      <c r="F51" s="7" t="s">
        <v>128</v>
      </c>
      <c r="G51" s="7">
        <v>100</v>
      </c>
      <c r="H51" s="94">
        <f>CEILING(SlimFix!$D$32*SlimFix!$J$44/1020,1)</f>
        <v>0</v>
      </c>
      <c r="I51" s="94">
        <f>CEILING(SlimFix!$D$50*SlimFix!$J$57/1020,1)</f>
        <v>0</v>
      </c>
      <c r="J51" s="7">
        <f>((H51*(SlimFix!$D$35-1))+(I51*(SlimFix!$D$52-1)))*4</f>
        <v>0</v>
      </c>
      <c r="K51" s="5" t="s">
        <v>128</v>
      </c>
      <c r="L51" s="5">
        <v>100</v>
      </c>
      <c r="M51" s="5">
        <v>6</v>
      </c>
      <c r="N51" s="5" t="e">
        <f>IF(calcu!$I$26&lt;=0,0,calcu!$I$26)</f>
        <v>#N/A</v>
      </c>
      <c r="O51" s="5" t="e">
        <f>IF(OR(I51=0,calcu!$T$26&lt;=0),0,calcu!$T$26)</f>
        <v>#N/A</v>
      </c>
      <c r="P51" s="5" t="e">
        <f t="shared" si="18"/>
        <v>#N/A</v>
      </c>
      <c r="R51" s="13" t="str">
        <f t="shared" si="2"/>
        <v>Schroef 260xØ6</v>
      </c>
      <c r="S51" s="7" t="e">
        <f t="shared" si="19"/>
        <v>#N/A</v>
      </c>
      <c r="T51" s="9"/>
      <c r="U51" s="10"/>
      <c r="V51" s="96" t="e">
        <f t="shared" si="20"/>
        <v>#N/A</v>
      </c>
      <c r="W51" s="4">
        <f>CEILING((H51*(SlimFix!$J$32/1000))+(I51*(SlimFix!$J$50/1000)),1)</f>
        <v>0</v>
      </c>
      <c r="X51" t="s">
        <v>193</v>
      </c>
      <c r="Y51" s="120">
        <v>4</v>
      </c>
      <c r="Z51" t="s">
        <v>194</v>
      </c>
    </row>
    <row r="52" spans="1:26" x14ac:dyDescent="0.25">
      <c r="A52" s="1" t="s">
        <v>37</v>
      </c>
      <c r="B52" s="12" t="s">
        <v>36</v>
      </c>
      <c r="C52" s="86" t="str">
        <f t="shared" si="14"/>
        <v>SlimFix Riet 6.3+4.0</v>
      </c>
      <c r="D52" s="7">
        <v>3</v>
      </c>
      <c r="E52" s="10">
        <v>17.5</v>
      </c>
      <c r="F52" s="7" t="s">
        <v>129</v>
      </c>
      <c r="G52" s="7">
        <v>100</v>
      </c>
      <c r="H52" s="94">
        <f>CEILING(SlimFix!$D$32*SlimFix!$J$44/1020,1)</f>
        <v>0</v>
      </c>
      <c r="I52" s="94">
        <f>CEILING(SlimFix!$D$50*SlimFix!$J$57/1020,1)</f>
        <v>0</v>
      </c>
      <c r="J52" s="7">
        <f>((H52*(SlimFix!$D$35-1))+(I52*(SlimFix!$D$52-1)))*4</f>
        <v>0</v>
      </c>
      <c r="K52" s="5" t="s">
        <v>129</v>
      </c>
      <c r="L52" s="5">
        <v>100</v>
      </c>
      <c r="M52" s="5">
        <v>6</v>
      </c>
      <c r="N52" s="5" t="e">
        <f>IF(calcu!$I$26&lt;=0,0,calcu!$I$26)</f>
        <v>#N/A</v>
      </c>
      <c r="O52" s="5" t="e">
        <f>IF(OR(I52=0,calcu!$T$26&lt;=0),0,calcu!$T$26)</f>
        <v>#N/A</v>
      </c>
      <c r="P52" s="5" t="e">
        <f t="shared" si="18"/>
        <v>#N/A</v>
      </c>
      <c r="R52" s="13" t="str">
        <f t="shared" si="2"/>
        <v>Schroef 280xØ6</v>
      </c>
      <c r="S52" s="7" t="e">
        <f t="shared" si="19"/>
        <v>#N/A</v>
      </c>
      <c r="T52" s="9"/>
      <c r="U52" s="10"/>
      <c r="V52" s="96" t="e">
        <f t="shared" si="20"/>
        <v>#N/A</v>
      </c>
      <c r="W52" s="4">
        <f>CEILING((H52*(SlimFix!$J$32/1000))+(I52*(SlimFix!$J$50/1000)),1)</f>
        <v>0</v>
      </c>
      <c r="X52" t="s">
        <v>193</v>
      </c>
      <c r="Y52" s="120">
        <v>4</v>
      </c>
      <c r="Z52" t="s">
        <v>194</v>
      </c>
    </row>
    <row r="53" spans="1:26" x14ac:dyDescent="0.25">
      <c r="A53" s="1" t="s">
        <v>26</v>
      </c>
      <c r="B53" s="12">
        <v>2.5</v>
      </c>
      <c r="C53" s="86" t="str">
        <f t="shared" si="14"/>
        <v>SlimFix Spoor 2,5</v>
      </c>
      <c r="D53" s="10"/>
      <c r="E53" s="10"/>
      <c r="F53" s="7" t="s">
        <v>135</v>
      </c>
      <c r="G53" s="7">
        <v>100</v>
      </c>
      <c r="H53" s="7"/>
      <c r="I53" s="7"/>
      <c r="J53" s="7"/>
      <c r="K53" s="10" t="s">
        <v>154</v>
      </c>
      <c r="L53" s="10"/>
      <c r="M53" s="10"/>
      <c r="N53" s="10"/>
      <c r="O53" s="10"/>
      <c r="P53" s="10"/>
      <c r="R53" s="13" t="str">
        <f t="shared" si="2"/>
        <v>schroef 160xØ6</v>
      </c>
      <c r="S53" s="7"/>
      <c r="T53" s="9" t="s">
        <v>154</v>
      </c>
      <c r="U53" s="10"/>
      <c r="V53" s="96"/>
      <c r="W53" s="4"/>
    </row>
    <row r="54" spans="1:26" x14ac:dyDescent="0.25">
      <c r="A54" s="1" t="s">
        <v>26</v>
      </c>
      <c r="B54" s="12">
        <v>3</v>
      </c>
      <c r="C54" s="86" t="str">
        <f t="shared" si="14"/>
        <v>SlimFix Spoor 3</v>
      </c>
      <c r="D54" s="10"/>
      <c r="E54" s="10"/>
      <c r="F54" s="7" t="s">
        <v>135</v>
      </c>
      <c r="G54" s="7">
        <v>100</v>
      </c>
      <c r="H54" s="7"/>
      <c r="I54" s="7"/>
      <c r="J54" s="7"/>
      <c r="K54" s="10" t="s">
        <v>154</v>
      </c>
      <c r="L54" s="10"/>
      <c r="M54" s="10"/>
      <c r="N54" s="10"/>
      <c r="O54" s="10"/>
      <c r="P54" s="10"/>
      <c r="R54" s="13" t="str">
        <f t="shared" si="2"/>
        <v>schroef 160xØ6</v>
      </c>
      <c r="S54" s="7"/>
      <c r="T54" s="9" t="s">
        <v>154</v>
      </c>
      <c r="U54" s="10"/>
      <c r="V54" s="96"/>
      <c r="W54" s="4"/>
    </row>
    <row r="55" spans="1:26" x14ac:dyDescent="0.25">
      <c r="A55" s="1" t="s">
        <v>26</v>
      </c>
      <c r="B55" s="12">
        <v>3.5</v>
      </c>
      <c r="C55" s="86" t="str">
        <f t="shared" si="14"/>
        <v>SlimFix Spoor 3,5</v>
      </c>
      <c r="D55" s="10"/>
      <c r="E55" s="10"/>
      <c r="F55" s="7" t="s">
        <v>136</v>
      </c>
      <c r="G55" s="7">
        <v>100</v>
      </c>
      <c r="H55" s="7"/>
      <c r="I55" s="7"/>
      <c r="J55" s="7"/>
      <c r="K55" s="10" t="s">
        <v>154</v>
      </c>
      <c r="L55" s="10"/>
      <c r="M55" s="10"/>
      <c r="N55" s="10"/>
      <c r="O55" s="10"/>
      <c r="P55" s="10"/>
      <c r="R55" s="13" t="str">
        <f t="shared" si="2"/>
        <v>schroef 180xØ6</v>
      </c>
      <c r="S55" s="7"/>
      <c r="T55" s="9" t="s">
        <v>154</v>
      </c>
      <c r="U55" s="10"/>
      <c r="V55" s="96"/>
      <c r="W55" s="4"/>
    </row>
    <row r="56" spans="1:26" x14ac:dyDescent="0.25">
      <c r="A56" s="1" t="s">
        <v>26</v>
      </c>
      <c r="B56" s="12">
        <v>4</v>
      </c>
      <c r="C56" s="86" t="str">
        <f t="shared" si="14"/>
        <v>SlimFix Spoor 4</v>
      </c>
      <c r="D56" s="10"/>
      <c r="E56" s="10"/>
      <c r="F56" s="7" t="s">
        <v>137</v>
      </c>
      <c r="G56" s="7">
        <v>100</v>
      </c>
      <c r="H56" s="7"/>
      <c r="I56" s="7"/>
      <c r="J56" s="7"/>
      <c r="K56" s="10" t="s">
        <v>154</v>
      </c>
      <c r="L56" s="10"/>
      <c r="M56" s="10"/>
      <c r="N56" s="10"/>
      <c r="O56" s="10"/>
      <c r="P56" s="10"/>
      <c r="R56" s="13" t="str">
        <f t="shared" si="2"/>
        <v>schroef 200xØ6</v>
      </c>
      <c r="S56" s="7"/>
      <c r="T56" s="9" t="s">
        <v>154</v>
      </c>
      <c r="U56" s="10"/>
      <c r="V56" s="96"/>
      <c r="W56" s="4"/>
    </row>
    <row r="57" spans="1:26" x14ac:dyDescent="0.25">
      <c r="A57" s="1" t="s">
        <v>26</v>
      </c>
      <c r="B57" s="12">
        <v>4.5</v>
      </c>
      <c r="C57" s="86" t="str">
        <f t="shared" si="14"/>
        <v>SlimFix Spoor 4,5</v>
      </c>
      <c r="D57" s="10"/>
      <c r="E57" s="10"/>
      <c r="F57" s="7" t="s">
        <v>138</v>
      </c>
      <c r="G57" s="7">
        <v>100</v>
      </c>
      <c r="H57" s="7"/>
      <c r="I57" s="7"/>
      <c r="J57" s="7"/>
      <c r="K57" s="10" t="s">
        <v>154</v>
      </c>
      <c r="L57" s="10"/>
      <c r="M57" s="10"/>
      <c r="N57" s="10"/>
      <c r="O57" s="10"/>
      <c r="P57" s="10"/>
      <c r="R57" s="13" t="str">
        <f t="shared" si="2"/>
        <v>schroef 220xØ6</v>
      </c>
      <c r="S57" s="7"/>
      <c r="T57" s="9" t="s">
        <v>154</v>
      </c>
      <c r="U57" s="10"/>
      <c r="V57" s="96"/>
      <c r="W57" s="4"/>
    </row>
    <row r="58" spans="1:26" x14ac:dyDescent="0.25">
      <c r="A58" s="1" t="s">
        <v>26</v>
      </c>
      <c r="B58" s="12">
        <v>5</v>
      </c>
      <c r="C58" s="86" t="str">
        <f t="shared" si="14"/>
        <v>SlimFix Spoor 5</v>
      </c>
      <c r="D58" s="10"/>
      <c r="E58" s="10"/>
      <c r="F58" s="7" t="s">
        <v>139</v>
      </c>
      <c r="G58" s="7">
        <v>100</v>
      </c>
      <c r="H58" s="7"/>
      <c r="I58" s="7"/>
      <c r="J58" s="7"/>
      <c r="K58" s="10" t="s">
        <v>154</v>
      </c>
      <c r="L58" s="10"/>
      <c r="M58" s="10"/>
      <c r="N58" s="10"/>
      <c r="O58" s="10"/>
      <c r="P58" s="10"/>
      <c r="R58" s="13" t="str">
        <f t="shared" si="2"/>
        <v>schroef 240xØ6</v>
      </c>
      <c r="S58" s="7"/>
      <c r="T58" s="9" t="s">
        <v>154</v>
      </c>
      <c r="U58" s="10"/>
      <c r="V58" s="96"/>
      <c r="W58" s="4"/>
    </row>
    <row r="59" spans="1:26" x14ac:dyDescent="0.25">
      <c r="A59" s="1" t="s">
        <v>26</v>
      </c>
      <c r="B59" s="12">
        <v>5.5</v>
      </c>
      <c r="C59" s="86" t="str">
        <f t="shared" si="14"/>
        <v>SlimFix Spoor 5,5</v>
      </c>
      <c r="D59" s="10"/>
      <c r="E59" s="10"/>
      <c r="F59" s="7" t="s">
        <v>140</v>
      </c>
      <c r="G59" s="7">
        <v>100</v>
      </c>
      <c r="H59" s="7"/>
      <c r="I59" s="7"/>
      <c r="J59" s="7"/>
      <c r="K59" s="10" t="s">
        <v>154</v>
      </c>
      <c r="L59" s="10"/>
      <c r="M59" s="10"/>
      <c r="N59" s="10"/>
      <c r="O59" s="10"/>
      <c r="P59" s="10"/>
      <c r="R59" s="13" t="str">
        <f t="shared" si="2"/>
        <v>schroef 260xØ6</v>
      </c>
      <c r="S59" s="7"/>
      <c r="T59" s="9" t="s">
        <v>154</v>
      </c>
      <c r="U59" s="10"/>
      <c r="V59" s="96"/>
      <c r="W59" s="4"/>
    </row>
    <row r="60" spans="1:26" x14ac:dyDescent="0.25">
      <c r="A60" s="1" t="s">
        <v>26</v>
      </c>
      <c r="B60" s="12">
        <v>6</v>
      </c>
      <c r="C60" s="86" t="str">
        <f t="shared" si="14"/>
        <v>SlimFix Spoor 6</v>
      </c>
      <c r="D60" s="10"/>
      <c r="E60" s="10"/>
      <c r="F60" s="7" t="s">
        <v>141</v>
      </c>
      <c r="G60" s="7">
        <v>100</v>
      </c>
      <c r="H60" s="7"/>
      <c r="I60" s="7"/>
      <c r="J60" s="7"/>
      <c r="K60" s="10" t="s">
        <v>154</v>
      </c>
      <c r="L60" s="10"/>
      <c r="M60" s="10"/>
      <c r="N60" s="10"/>
      <c r="O60" s="10"/>
      <c r="P60" s="10"/>
      <c r="R60" s="13" t="str">
        <f t="shared" si="2"/>
        <v>schroef 280xØ6</v>
      </c>
      <c r="S60" s="7"/>
      <c r="T60" s="9" t="s">
        <v>154</v>
      </c>
      <c r="U60" s="10"/>
      <c r="V60" s="96"/>
      <c r="W60" s="4"/>
    </row>
    <row r="61" spans="1:26" x14ac:dyDescent="0.25">
      <c r="A61" s="1" t="s">
        <v>26</v>
      </c>
      <c r="B61" s="12">
        <v>6.3</v>
      </c>
      <c r="C61" s="86" t="str">
        <f t="shared" si="14"/>
        <v>SlimFix Spoor 6,3</v>
      </c>
      <c r="D61" s="10"/>
      <c r="E61" s="10"/>
      <c r="F61" s="7" t="s">
        <v>141</v>
      </c>
      <c r="G61" s="7">
        <v>100</v>
      </c>
      <c r="H61" s="7"/>
      <c r="I61" s="7"/>
      <c r="J61" s="7"/>
      <c r="K61" s="10" t="s">
        <v>154</v>
      </c>
      <c r="L61" s="10"/>
      <c r="M61" s="10"/>
      <c r="N61" s="10"/>
      <c r="O61" s="10"/>
      <c r="P61" s="10"/>
      <c r="R61" s="13" t="str">
        <f t="shared" si="2"/>
        <v>schroef 280xØ6</v>
      </c>
      <c r="S61" s="7"/>
      <c r="T61" s="9" t="s">
        <v>154</v>
      </c>
      <c r="U61" s="10"/>
      <c r="V61" s="96"/>
      <c r="W61" s="4"/>
    </row>
    <row r="62" spans="1:26" x14ac:dyDescent="0.25">
      <c r="A62" s="1" t="s">
        <v>26</v>
      </c>
      <c r="B62" s="12">
        <v>7</v>
      </c>
      <c r="C62" s="86" t="str">
        <f t="shared" si="14"/>
        <v>SlimFix Spoor 7</v>
      </c>
      <c r="D62" s="10"/>
      <c r="E62" s="10"/>
      <c r="F62" s="7" t="s">
        <v>142</v>
      </c>
      <c r="G62" s="7">
        <v>100</v>
      </c>
      <c r="H62" s="7"/>
      <c r="I62" s="7"/>
      <c r="J62" s="7"/>
      <c r="K62" s="10" t="s">
        <v>154</v>
      </c>
      <c r="L62" s="10"/>
      <c r="M62" s="10"/>
      <c r="N62" s="10"/>
      <c r="O62" s="10"/>
      <c r="P62" s="10"/>
      <c r="R62" s="13" t="str">
        <f t="shared" si="2"/>
        <v>schroef 300xØ6</v>
      </c>
      <c r="S62" s="7"/>
      <c r="T62" s="9" t="s">
        <v>154</v>
      </c>
      <c r="U62" s="10"/>
      <c r="V62" s="96"/>
      <c r="W62" s="4"/>
      <c r="Y62" s="109"/>
    </row>
    <row r="63" spans="1:26" x14ac:dyDescent="0.25">
      <c r="A63" s="1" t="s">
        <v>182</v>
      </c>
      <c r="B63" s="12">
        <v>3.5</v>
      </c>
      <c r="C63" s="86" t="str">
        <f t="shared" ref="C63:C70" si="21">A63&amp;" "&amp;B63</f>
        <v>SlimFix-XT 3/3L 3,5</v>
      </c>
      <c r="D63" s="7">
        <v>3</v>
      </c>
      <c r="E63" s="10">
        <v>9.5</v>
      </c>
      <c r="F63" s="7" t="s">
        <v>125</v>
      </c>
      <c r="G63" s="7">
        <v>100</v>
      </c>
      <c r="H63" s="94">
        <f>CEILING(SlimFix!$D$32*SlimFix!$J$44/1020,1)</f>
        <v>0</v>
      </c>
      <c r="I63" s="94">
        <f>CEILING(SlimFix!$D$50*SlimFix!$J$57/1020,1)</f>
        <v>0</v>
      </c>
      <c r="J63" s="7">
        <f>((H63*SlimFix!$D$35)+(I63*SlimFix!$D$52))*3</f>
        <v>0</v>
      </c>
      <c r="K63" s="5" t="s">
        <v>152</v>
      </c>
      <c r="L63" s="5">
        <v>50</v>
      </c>
      <c r="M63" s="5">
        <v>8</v>
      </c>
      <c r="N63" s="5" t="e">
        <f>IF(calcu!$I$27&lt;=0,0,calcu!$I$27)</f>
        <v>#N/A</v>
      </c>
      <c r="O63" s="5" t="e">
        <f>IF(OR(I63=0,calcu!$T$27&lt;=0),0,calcu!$T$27)</f>
        <v>#N/A</v>
      </c>
      <c r="P63" s="5" t="e">
        <f t="shared" ref="P63:P70" si="22">(H63*N63)+(I63*O63)</f>
        <v>#N/A</v>
      </c>
      <c r="R63" s="13" t="str">
        <f t="shared" ref="R63:R69" si="23">F63</f>
        <v>Schroef 200xØ6</v>
      </c>
      <c r="S63" s="7">
        <f t="shared" ref="S63:S69" si="24">CEILING(J63/G63,1)</f>
        <v>0</v>
      </c>
      <c r="T63" s="6" t="str">
        <f t="shared" ref="T63:T70" si="25">K63</f>
        <v>Schroef 180xØ8</v>
      </c>
      <c r="U63" s="5" t="e">
        <f t="shared" ref="U63:U69" si="26">CEILING(P63/L63,1)</f>
        <v>#N/A</v>
      </c>
      <c r="V63" s="96" t="e">
        <f t="shared" ref="V63:V69" si="27">CEILING(P63/100,1)</f>
        <v>#N/A</v>
      </c>
      <c r="W63" s="4">
        <f>CEILING((H63*(SlimFix!$J$32/1000))+(I63*(SlimFix!$J$50/1000)),1)</f>
        <v>0</v>
      </c>
      <c r="X63" t="s">
        <v>191</v>
      </c>
      <c r="Y63" s="121">
        <v>3</v>
      </c>
      <c r="Z63" t="s">
        <v>195</v>
      </c>
    </row>
    <row r="64" spans="1:26" x14ac:dyDescent="0.25">
      <c r="A64" s="1" t="s">
        <v>182</v>
      </c>
      <c r="B64" s="12">
        <v>4</v>
      </c>
      <c r="C64" s="86" t="str">
        <f t="shared" si="21"/>
        <v>SlimFix-XT 3/3L 4</v>
      </c>
      <c r="D64" s="7">
        <v>3</v>
      </c>
      <c r="E64" s="10">
        <v>10</v>
      </c>
      <c r="F64" s="7" t="s">
        <v>126</v>
      </c>
      <c r="G64" s="7">
        <v>100</v>
      </c>
      <c r="H64" s="94">
        <f>CEILING(SlimFix!$D$32*SlimFix!$J$44/1020,1)</f>
        <v>0</v>
      </c>
      <c r="I64" s="94">
        <f>CEILING(SlimFix!$D$50*SlimFix!$J$57/1020,1)</f>
        <v>0</v>
      </c>
      <c r="J64" s="7">
        <f>((H64*SlimFix!$D$35)+(I64*SlimFix!$D$52))*3</f>
        <v>0</v>
      </c>
      <c r="K64" s="5" t="s">
        <v>148</v>
      </c>
      <c r="L64" s="5">
        <v>50</v>
      </c>
      <c r="M64" s="5">
        <v>8</v>
      </c>
      <c r="N64" s="5" t="e">
        <f>IF(calcu!$I$27&lt;=0,0,calcu!$I$27)</f>
        <v>#N/A</v>
      </c>
      <c r="O64" s="5" t="e">
        <f>IF(OR(I64=0,calcu!$T$27&lt;=0),0,calcu!$T$27)</f>
        <v>#N/A</v>
      </c>
      <c r="P64" s="5" t="e">
        <f t="shared" si="22"/>
        <v>#N/A</v>
      </c>
      <c r="R64" s="13" t="str">
        <f t="shared" si="23"/>
        <v>Schroef 220xØ6</v>
      </c>
      <c r="S64" s="7">
        <f t="shared" si="24"/>
        <v>0</v>
      </c>
      <c r="T64" s="6" t="str">
        <f t="shared" si="25"/>
        <v>Schroef 200xØ8</v>
      </c>
      <c r="U64" s="5" t="e">
        <f t="shared" si="26"/>
        <v>#N/A</v>
      </c>
      <c r="V64" s="96" t="e">
        <f t="shared" si="27"/>
        <v>#N/A</v>
      </c>
      <c r="W64" s="4">
        <f>CEILING((H64*(SlimFix!$J$32/1000))+(I64*(SlimFix!$J$50/1000)),1)</f>
        <v>0</v>
      </c>
      <c r="X64" t="s">
        <v>191</v>
      </c>
      <c r="Y64" s="121">
        <v>3</v>
      </c>
      <c r="Z64" t="s">
        <v>195</v>
      </c>
    </row>
    <row r="65" spans="1:26" x14ac:dyDescent="0.25">
      <c r="A65" s="1" t="s">
        <v>182</v>
      </c>
      <c r="B65" s="12">
        <v>4.5</v>
      </c>
      <c r="C65" s="86" t="str">
        <f t="shared" si="21"/>
        <v>SlimFix-XT 3/3L 4,5</v>
      </c>
      <c r="D65" s="7">
        <v>3</v>
      </c>
      <c r="E65" s="10">
        <v>11</v>
      </c>
      <c r="F65" s="7" t="s">
        <v>127</v>
      </c>
      <c r="G65" s="7">
        <v>100</v>
      </c>
      <c r="H65" s="94">
        <f>CEILING(SlimFix!$D$32*SlimFix!$J$44/1020,1)</f>
        <v>0</v>
      </c>
      <c r="I65" s="94">
        <f>CEILING(SlimFix!$D$50*SlimFix!$J$57/1020,1)</f>
        <v>0</v>
      </c>
      <c r="J65" s="7">
        <f>((H65*SlimFix!$D$35)+(I65*SlimFix!$D$52))*3</f>
        <v>0</v>
      </c>
      <c r="K65" s="5" t="s">
        <v>149</v>
      </c>
      <c r="L65" s="5">
        <v>50</v>
      </c>
      <c r="M65" s="5">
        <v>8</v>
      </c>
      <c r="N65" s="5" t="e">
        <f>IF(calcu!$I$27&lt;=0,0,calcu!$I$27)</f>
        <v>#N/A</v>
      </c>
      <c r="O65" s="5" t="e">
        <f>IF(OR(I65=0,calcu!$T$27&lt;=0),0,calcu!$T$27)</f>
        <v>#N/A</v>
      </c>
      <c r="P65" s="5" t="e">
        <f t="shared" si="22"/>
        <v>#N/A</v>
      </c>
      <c r="R65" s="13" t="str">
        <f t="shared" si="23"/>
        <v>Schroef 240xØ6</v>
      </c>
      <c r="S65" s="7">
        <f t="shared" si="24"/>
        <v>0</v>
      </c>
      <c r="T65" s="6" t="str">
        <f t="shared" si="25"/>
        <v>Schroef 240xØ8</v>
      </c>
      <c r="U65" s="5" t="e">
        <f t="shared" si="26"/>
        <v>#N/A</v>
      </c>
      <c r="V65" s="96" t="e">
        <f t="shared" si="27"/>
        <v>#N/A</v>
      </c>
      <c r="W65" s="4">
        <f>CEILING((H65*(SlimFix!$J$32/1000))+(I65*(SlimFix!$J$50/1000)),1)</f>
        <v>0</v>
      </c>
      <c r="X65" t="s">
        <v>191</v>
      </c>
      <c r="Y65" s="121">
        <v>3</v>
      </c>
      <c r="Z65" t="s">
        <v>195</v>
      </c>
    </row>
    <row r="66" spans="1:26" x14ac:dyDescent="0.25">
      <c r="A66" s="1" t="s">
        <v>182</v>
      </c>
      <c r="B66" s="12">
        <v>5</v>
      </c>
      <c r="C66" s="86" t="str">
        <f t="shared" si="21"/>
        <v>SlimFix-XT 3/3L 5</v>
      </c>
      <c r="D66" s="7">
        <v>3</v>
      </c>
      <c r="E66" s="10">
        <v>11.5</v>
      </c>
      <c r="F66" s="7" t="s">
        <v>128</v>
      </c>
      <c r="G66" s="7">
        <v>100</v>
      </c>
      <c r="H66" s="94">
        <f>CEILING(SlimFix!$D$32*SlimFix!$J$44/1020,1)</f>
        <v>0</v>
      </c>
      <c r="I66" s="94">
        <f>CEILING(SlimFix!$D$50*SlimFix!$J$57/1020,1)</f>
        <v>0</v>
      </c>
      <c r="J66" s="7">
        <f>((H66*SlimFix!$D$35)+(I66*SlimFix!$D$52))*3</f>
        <v>0</v>
      </c>
      <c r="K66" s="5" t="s">
        <v>150</v>
      </c>
      <c r="L66" s="5">
        <v>50</v>
      </c>
      <c r="M66" s="5">
        <v>8</v>
      </c>
      <c r="N66" s="5" t="e">
        <f>IF(calcu!$I$27&lt;=0,0,calcu!$I$27)</f>
        <v>#N/A</v>
      </c>
      <c r="O66" s="5" t="e">
        <f>IF(OR(I66=0,calcu!$T$27&lt;=0),0,calcu!$T$27)</f>
        <v>#N/A</v>
      </c>
      <c r="P66" s="5" t="e">
        <f t="shared" si="22"/>
        <v>#N/A</v>
      </c>
      <c r="R66" s="13" t="str">
        <f t="shared" si="23"/>
        <v>Schroef 260xØ6</v>
      </c>
      <c r="S66" s="7">
        <f t="shared" si="24"/>
        <v>0</v>
      </c>
      <c r="T66" s="6" t="str">
        <f t="shared" si="25"/>
        <v>Schroef 260xØ8</v>
      </c>
      <c r="U66" s="5" t="e">
        <f t="shared" si="26"/>
        <v>#N/A</v>
      </c>
      <c r="V66" s="96" t="e">
        <f t="shared" si="27"/>
        <v>#N/A</v>
      </c>
      <c r="W66" s="4">
        <f>CEILING((H66*(SlimFix!$J$32/1000))+(I66*(SlimFix!$J$50/1000)),1)</f>
        <v>0</v>
      </c>
      <c r="X66" t="s">
        <v>191</v>
      </c>
      <c r="Y66" s="121">
        <v>3</v>
      </c>
      <c r="Z66" t="s">
        <v>195</v>
      </c>
    </row>
    <row r="67" spans="1:26" x14ac:dyDescent="0.25">
      <c r="A67" s="1" t="s">
        <v>182</v>
      </c>
      <c r="B67" s="12">
        <v>5.5</v>
      </c>
      <c r="C67" s="86" t="str">
        <f t="shared" si="21"/>
        <v>SlimFix-XT 3/3L 5,5</v>
      </c>
      <c r="D67" s="7">
        <v>3</v>
      </c>
      <c r="E67" s="10">
        <v>12</v>
      </c>
      <c r="F67" s="7" t="s">
        <v>128</v>
      </c>
      <c r="G67" s="7">
        <v>100</v>
      </c>
      <c r="H67" s="94">
        <f>CEILING(SlimFix!$D$32*SlimFix!$J$44/1020,1)</f>
        <v>0</v>
      </c>
      <c r="I67" s="94">
        <f>CEILING(SlimFix!$D$50*SlimFix!$J$57/1020,1)</f>
        <v>0</v>
      </c>
      <c r="J67" s="7">
        <f>((H67*SlimFix!$D$35)+(I67*SlimFix!$D$52))*3</f>
        <v>0</v>
      </c>
      <c r="K67" s="5" t="s">
        <v>150</v>
      </c>
      <c r="L67" s="5">
        <v>50</v>
      </c>
      <c r="M67" s="5">
        <v>8</v>
      </c>
      <c r="N67" s="5" t="e">
        <f>IF(calcu!$I$27&lt;=0,0,calcu!$I$27)</f>
        <v>#N/A</v>
      </c>
      <c r="O67" s="5" t="e">
        <f>IF(OR(I67=0,calcu!$T$27&lt;=0),0,calcu!$T$27)</f>
        <v>#N/A</v>
      </c>
      <c r="P67" s="5" t="e">
        <f t="shared" si="22"/>
        <v>#N/A</v>
      </c>
      <c r="R67" s="13" t="str">
        <f t="shared" si="23"/>
        <v>Schroef 260xØ6</v>
      </c>
      <c r="S67" s="7">
        <f t="shared" si="24"/>
        <v>0</v>
      </c>
      <c r="T67" s="6" t="str">
        <f t="shared" si="25"/>
        <v>Schroef 260xØ8</v>
      </c>
      <c r="U67" s="5" t="e">
        <f t="shared" si="26"/>
        <v>#N/A</v>
      </c>
      <c r="V67" s="96" t="e">
        <f t="shared" si="27"/>
        <v>#N/A</v>
      </c>
      <c r="W67" s="4">
        <f>CEILING((H67*(SlimFix!$J$32/1000))+(I67*(SlimFix!$J$50/1000)),1)</f>
        <v>0</v>
      </c>
      <c r="X67" t="s">
        <v>191</v>
      </c>
      <c r="Y67" s="121">
        <v>3</v>
      </c>
      <c r="Z67" t="s">
        <v>195</v>
      </c>
    </row>
    <row r="68" spans="1:26" x14ac:dyDescent="0.25">
      <c r="A68" s="1" t="s">
        <v>182</v>
      </c>
      <c r="B68" s="12">
        <v>6</v>
      </c>
      <c r="C68" s="86" t="str">
        <f t="shared" si="21"/>
        <v>SlimFix-XT 3/3L 6</v>
      </c>
      <c r="D68" s="7">
        <v>3</v>
      </c>
      <c r="E68" s="10">
        <v>13</v>
      </c>
      <c r="F68" s="7" t="s">
        <v>130</v>
      </c>
      <c r="G68" s="7">
        <v>100</v>
      </c>
      <c r="H68" s="94">
        <f>CEILING(SlimFix!$D$32*SlimFix!$J$44/1020,1)</f>
        <v>0</v>
      </c>
      <c r="I68" s="94">
        <f>CEILING(SlimFix!$D$50*SlimFix!$J$57/1020,1)</f>
        <v>0</v>
      </c>
      <c r="J68" s="7">
        <f>((H68*SlimFix!$D$35)+(I68*SlimFix!$D$52))*3</f>
        <v>0</v>
      </c>
      <c r="K68" s="5" t="s">
        <v>151</v>
      </c>
      <c r="L68" s="5">
        <v>50</v>
      </c>
      <c r="M68" s="5">
        <v>8</v>
      </c>
      <c r="N68" s="5" t="e">
        <f>IF(calcu!$I$27&lt;=0,0,calcu!$I$27)</f>
        <v>#N/A</v>
      </c>
      <c r="O68" s="5" t="e">
        <f>IF(OR(I68=0,calcu!$T$27&lt;=0),0,calcu!$T$27)</f>
        <v>#N/A</v>
      </c>
      <c r="P68" s="5" t="e">
        <f t="shared" si="22"/>
        <v>#N/A</v>
      </c>
      <c r="R68" s="13" t="str">
        <f t="shared" si="23"/>
        <v>Schroef 300xØ6</v>
      </c>
      <c r="S68" s="7">
        <f t="shared" si="24"/>
        <v>0</v>
      </c>
      <c r="T68" s="6" t="str">
        <f t="shared" si="25"/>
        <v>Schroef 280xØ8</v>
      </c>
      <c r="U68" s="5" t="e">
        <f t="shared" si="26"/>
        <v>#N/A</v>
      </c>
      <c r="V68" s="96" t="e">
        <f t="shared" si="27"/>
        <v>#N/A</v>
      </c>
      <c r="W68" s="4">
        <f>CEILING((H68*(SlimFix!$J$32/1000))+(I68*(SlimFix!$J$50/1000)),1)</f>
        <v>0</v>
      </c>
      <c r="X68" t="s">
        <v>191</v>
      </c>
      <c r="Y68" s="121">
        <v>3</v>
      </c>
      <c r="Z68" t="s">
        <v>195</v>
      </c>
    </row>
    <row r="69" spans="1:26" x14ac:dyDescent="0.25">
      <c r="A69" s="1" t="s">
        <v>182</v>
      </c>
      <c r="B69" s="12">
        <v>6.3</v>
      </c>
      <c r="C69" s="86" t="str">
        <f t="shared" si="21"/>
        <v>SlimFix-XT 3/3L 6,3</v>
      </c>
      <c r="D69" s="7">
        <v>3</v>
      </c>
      <c r="E69" s="10">
        <v>13</v>
      </c>
      <c r="F69" s="7" t="s">
        <v>130</v>
      </c>
      <c r="G69" s="7">
        <v>100</v>
      </c>
      <c r="H69" s="94">
        <f>CEILING(SlimFix!$D$32*SlimFix!$J$44/1020,1)</f>
        <v>0</v>
      </c>
      <c r="I69" s="94">
        <f>CEILING(SlimFix!$D$50*SlimFix!$J$57/1020,1)</f>
        <v>0</v>
      </c>
      <c r="J69" s="7">
        <f>((H69*SlimFix!$D$35)+(I69*SlimFix!$D$52))*3</f>
        <v>0</v>
      </c>
      <c r="K69" s="5" t="s">
        <v>151</v>
      </c>
      <c r="L69" s="5">
        <v>50</v>
      </c>
      <c r="M69" s="5">
        <v>8</v>
      </c>
      <c r="N69" s="5" t="e">
        <f>IF(calcu!$I$27&lt;=0,0,calcu!$I$27)</f>
        <v>#N/A</v>
      </c>
      <c r="O69" s="5" t="e">
        <f>IF(OR(I69=0,calcu!$T$27&lt;=0),0,calcu!$T$27)</f>
        <v>#N/A</v>
      </c>
      <c r="P69" s="5" t="e">
        <f t="shared" si="22"/>
        <v>#N/A</v>
      </c>
      <c r="R69" s="13" t="str">
        <f t="shared" si="23"/>
        <v>Schroef 300xØ6</v>
      </c>
      <c r="S69" s="7">
        <f t="shared" si="24"/>
        <v>0</v>
      </c>
      <c r="T69" s="6" t="str">
        <f t="shared" si="25"/>
        <v>Schroef 280xØ8</v>
      </c>
      <c r="U69" s="5" t="e">
        <f t="shared" si="26"/>
        <v>#N/A</v>
      </c>
      <c r="V69" s="96" t="e">
        <f t="shared" si="27"/>
        <v>#N/A</v>
      </c>
      <c r="W69" s="4">
        <f>CEILING((H69*(SlimFix!$J$32/1000))+(I69*(SlimFix!$J$50/1000)),1)</f>
        <v>0</v>
      </c>
      <c r="X69" t="s">
        <v>191</v>
      </c>
      <c r="Y69" s="121">
        <v>3</v>
      </c>
      <c r="Z69" t="s">
        <v>195</v>
      </c>
    </row>
    <row r="70" spans="1:26" x14ac:dyDescent="0.25">
      <c r="A70" s="1" t="s">
        <v>182</v>
      </c>
      <c r="B70" s="12">
        <v>7</v>
      </c>
      <c r="C70" s="86" t="str">
        <f t="shared" si="21"/>
        <v>SlimFix-XT 3/3L 7</v>
      </c>
      <c r="D70" s="7">
        <v>3</v>
      </c>
      <c r="E70" s="10">
        <v>14.5</v>
      </c>
      <c r="F70" s="7" t="s">
        <v>131</v>
      </c>
      <c r="G70" s="7">
        <v>50</v>
      </c>
      <c r="H70" s="94">
        <f>CEILING(SlimFix!$D$32*SlimFix!$J$44/1020,1)</f>
        <v>0</v>
      </c>
      <c r="I70" s="94">
        <f>CEILING(SlimFix!$D$50*SlimFix!$J$57/1020,1)</f>
        <v>0</v>
      </c>
      <c r="J70" s="7">
        <f>((H70*SlimFix!$D$35)+(I70*SlimFix!$D$52))*2</f>
        <v>0</v>
      </c>
      <c r="K70" s="5" t="s">
        <v>131</v>
      </c>
      <c r="L70" s="5">
        <v>50</v>
      </c>
      <c r="M70" s="5">
        <v>8</v>
      </c>
      <c r="N70" s="5" t="e">
        <f>IF(calcu!$I$27&lt;=0,0,calcu!$I$27)</f>
        <v>#N/A</v>
      </c>
      <c r="O70" s="5" t="e">
        <f>IF(OR(I70=0,calcu!$T$27&lt;=0),0,calcu!$T$27)</f>
        <v>#N/A</v>
      </c>
      <c r="P70" s="5" t="e">
        <f t="shared" si="22"/>
        <v>#N/A</v>
      </c>
      <c r="R70" s="9"/>
      <c r="S70" s="10"/>
      <c r="T70" s="6" t="str">
        <f t="shared" si="25"/>
        <v>Schroef 300xØ8</v>
      </c>
      <c r="U70" s="5" t="e">
        <f>CEILING((P70+J70)/L70,1)</f>
        <v>#N/A</v>
      </c>
      <c r="V70" s="96" t="e">
        <f>CEILING((P70+J70)/100,1)</f>
        <v>#N/A</v>
      </c>
      <c r="W70" s="4">
        <f>CEILING((H70*(SlimFix!$J$32/1000))+(I70*(SlimFix!$J$50/1000)),1)</f>
        <v>0</v>
      </c>
      <c r="X70" t="s">
        <v>192</v>
      </c>
      <c r="Y70" s="121">
        <v>2</v>
      </c>
      <c r="Z70" t="s">
        <v>195</v>
      </c>
    </row>
    <row r="71" spans="1:26" x14ac:dyDescent="0.25">
      <c r="A71" s="1" t="s">
        <v>18</v>
      </c>
      <c r="B71" s="12">
        <v>3.5</v>
      </c>
      <c r="C71" s="86" t="str">
        <f t="shared" si="14"/>
        <v>SlimFix-XT 3/3R 3,5</v>
      </c>
      <c r="D71" s="7">
        <v>3</v>
      </c>
      <c r="E71" s="10">
        <v>8.5</v>
      </c>
      <c r="F71" s="7" t="s">
        <v>125</v>
      </c>
      <c r="G71" s="7">
        <v>100</v>
      </c>
      <c r="H71" s="94">
        <f>CEILING(SlimFix!$D$32*SlimFix!$J$44/1020,1)</f>
        <v>0</v>
      </c>
      <c r="I71" s="94">
        <f>CEILING(SlimFix!$D$50*SlimFix!$J$57/1020,1)</f>
        <v>0</v>
      </c>
      <c r="J71" s="7">
        <f>((H71*SlimFix!$D$35)+(I71*SlimFix!$D$52))*3</f>
        <v>0</v>
      </c>
      <c r="K71" s="5" t="s">
        <v>125</v>
      </c>
      <c r="L71" s="5">
        <v>100</v>
      </c>
      <c r="M71" s="5">
        <v>6</v>
      </c>
      <c r="N71" s="5" t="e">
        <f>IF(calcu!$I$36&lt;=0,0,calcu!$I$36)</f>
        <v>#N/A</v>
      </c>
      <c r="O71" s="5" t="e">
        <f>IF(calcu!$T$36&lt;=0,0,calcu!$T$36)</f>
        <v>#N/A</v>
      </c>
      <c r="P71" s="5" t="e">
        <f t="shared" ref="P71:P94" si="28">(H71*N71)+(I71*O71)</f>
        <v>#N/A</v>
      </c>
      <c r="R71" s="13" t="s">
        <v>125</v>
      </c>
      <c r="S71" s="7" t="e">
        <f>CEILING((J71+P71)/G71,1)</f>
        <v>#N/A</v>
      </c>
      <c r="T71" s="9"/>
      <c r="U71" s="10"/>
      <c r="V71" s="96" t="e">
        <f t="shared" ref="V71:V94" si="29">CEILING(P71/100,1)</f>
        <v>#N/A</v>
      </c>
      <c r="W71" s="4">
        <f>CEILING((H71*(SlimFix!$J$32/1000))+(I71*(SlimFix!$J$50/1000)),1)</f>
        <v>0</v>
      </c>
      <c r="X71" t="s">
        <v>191</v>
      </c>
      <c r="Y71" s="109">
        <v>3</v>
      </c>
      <c r="Z71" t="e">
        <f>IF(P71=0," ","Tussen de tengels t.p.v. muurplaat:")</f>
        <v>#N/A</v>
      </c>
    </row>
    <row r="72" spans="1:26" x14ac:dyDescent="0.25">
      <c r="A72" s="1" t="s">
        <v>18</v>
      </c>
      <c r="B72" s="12">
        <v>4</v>
      </c>
      <c r="C72" s="86" t="str">
        <f t="shared" si="14"/>
        <v>SlimFix-XT 3/3R 4</v>
      </c>
      <c r="D72" s="7">
        <v>3</v>
      </c>
      <c r="E72" s="10">
        <v>9</v>
      </c>
      <c r="F72" s="7" t="s">
        <v>125</v>
      </c>
      <c r="G72" s="7">
        <v>100</v>
      </c>
      <c r="H72" s="94">
        <f>CEILING(SlimFix!$D$32*SlimFix!$J$44/1020,1)</f>
        <v>0</v>
      </c>
      <c r="I72" s="94">
        <f>CEILING(SlimFix!$D$50*SlimFix!$J$57/1020,1)</f>
        <v>0</v>
      </c>
      <c r="J72" s="7">
        <f>((H72*SlimFix!$D$35)+(I72*SlimFix!$D$52))*3</f>
        <v>0</v>
      </c>
      <c r="K72" s="5" t="s">
        <v>125</v>
      </c>
      <c r="L72" s="5">
        <v>100</v>
      </c>
      <c r="M72" s="5">
        <v>6</v>
      </c>
      <c r="N72" s="5" t="e">
        <f>IF(calcu!$I$36&lt;=0,0,calcu!$I$36)</f>
        <v>#N/A</v>
      </c>
      <c r="O72" s="5" t="e">
        <f>IF(calcu!$T$36&lt;=0,0,calcu!$T$36)</f>
        <v>#N/A</v>
      </c>
      <c r="P72" s="5" t="e">
        <f t="shared" si="28"/>
        <v>#N/A</v>
      </c>
      <c r="R72" s="13" t="s">
        <v>125</v>
      </c>
      <c r="S72" s="7" t="e">
        <f t="shared" ref="S72:S94" si="30">CEILING((J72+P72)/G72,1)</f>
        <v>#N/A</v>
      </c>
      <c r="T72" s="9"/>
      <c r="U72" s="10"/>
      <c r="V72" s="96" t="e">
        <f t="shared" si="29"/>
        <v>#N/A</v>
      </c>
      <c r="W72" s="4">
        <f>CEILING((H72*(SlimFix!$J$32/1000))+(I72*(SlimFix!$J$50/1000)),1)</f>
        <v>0</v>
      </c>
      <c r="X72" t="s">
        <v>191</v>
      </c>
      <c r="Y72" s="109">
        <v>3</v>
      </c>
      <c r="Z72" t="e">
        <f t="shared" ref="Z72:Z94" si="31">IF(P72=0," ","Tussen de tengels t.p.v. muurplaat:")</f>
        <v>#N/A</v>
      </c>
    </row>
    <row r="73" spans="1:26" x14ac:dyDescent="0.25">
      <c r="A73" s="1" t="s">
        <v>18</v>
      </c>
      <c r="B73" s="12">
        <v>4.5</v>
      </c>
      <c r="C73" s="86" t="str">
        <f t="shared" si="14"/>
        <v>SlimFix-XT 3/3R 4,5</v>
      </c>
      <c r="D73" s="7">
        <v>3</v>
      </c>
      <c r="E73" s="10">
        <v>9.5</v>
      </c>
      <c r="F73" s="7" t="s">
        <v>126</v>
      </c>
      <c r="G73" s="7">
        <v>100</v>
      </c>
      <c r="H73" s="94">
        <f>CEILING(SlimFix!$D$32*SlimFix!$J$44/1020,1)</f>
        <v>0</v>
      </c>
      <c r="I73" s="94">
        <f>CEILING(SlimFix!$D$50*SlimFix!$J$57/1020,1)</f>
        <v>0</v>
      </c>
      <c r="J73" s="7">
        <f>((H73*SlimFix!$D$35)+(I73*SlimFix!$D$52))*3</f>
        <v>0</v>
      </c>
      <c r="K73" s="5" t="s">
        <v>126</v>
      </c>
      <c r="L73" s="5">
        <v>100</v>
      </c>
      <c r="M73" s="5">
        <v>6</v>
      </c>
      <c r="N73" s="5" t="e">
        <f>IF(calcu!$I$36&lt;=0,0,calcu!$I$36)</f>
        <v>#N/A</v>
      </c>
      <c r="O73" s="5" t="e">
        <f>IF(calcu!$T$36&lt;=0,0,calcu!$T$36)</f>
        <v>#N/A</v>
      </c>
      <c r="P73" s="5" t="e">
        <f t="shared" si="28"/>
        <v>#N/A</v>
      </c>
      <c r="R73" s="13" t="s">
        <v>126</v>
      </c>
      <c r="S73" s="7" t="e">
        <f t="shared" si="30"/>
        <v>#N/A</v>
      </c>
      <c r="T73" s="9"/>
      <c r="U73" s="10"/>
      <c r="V73" s="96" t="e">
        <f t="shared" si="29"/>
        <v>#N/A</v>
      </c>
      <c r="W73" s="4">
        <f>CEILING((H73*(SlimFix!$J$32/1000))+(I73*(SlimFix!$J$50/1000)),1)</f>
        <v>0</v>
      </c>
      <c r="X73" t="s">
        <v>191</v>
      </c>
      <c r="Y73" s="109">
        <v>3</v>
      </c>
      <c r="Z73" t="e">
        <f t="shared" si="31"/>
        <v>#N/A</v>
      </c>
    </row>
    <row r="74" spans="1:26" x14ac:dyDescent="0.25">
      <c r="A74" s="1" t="s">
        <v>18</v>
      </c>
      <c r="B74" s="12">
        <v>5</v>
      </c>
      <c r="C74" s="86" t="str">
        <f t="shared" si="14"/>
        <v>SlimFix-XT 3/3R 5</v>
      </c>
      <c r="D74" s="7">
        <v>3</v>
      </c>
      <c r="E74" s="10">
        <v>10.5</v>
      </c>
      <c r="F74" s="7" t="s">
        <v>127</v>
      </c>
      <c r="G74" s="7">
        <v>100</v>
      </c>
      <c r="H74" s="94">
        <f>CEILING(SlimFix!$D$32*SlimFix!$J$44/1020,1)</f>
        <v>0</v>
      </c>
      <c r="I74" s="94">
        <f>CEILING(SlimFix!$D$50*SlimFix!$J$57/1020,1)</f>
        <v>0</v>
      </c>
      <c r="J74" s="7">
        <f>((H74*SlimFix!$D$35)+(I74*SlimFix!$D$52))*3</f>
        <v>0</v>
      </c>
      <c r="K74" s="5" t="s">
        <v>127</v>
      </c>
      <c r="L74" s="5">
        <v>100</v>
      </c>
      <c r="M74" s="5">
        <v>6</v>
      </c>
      <c r="N74" s="5" t="e">
        <f>IF(calcu!$I$36&lt;=0,0,calcu!$I$36)</f>
        <v>#N/A</v>
      </c>
      <c r="O74" s="5" t="e">
        <f>IF(calcu!$T$36&lt;=0,0,calcu!$T$36)</f>
        <v>#N/A</v>
      </c>
      <c r="P74" s="5" t="e">
        <f t="shared" si="28"/>
        <v>#N/A</v>
      </c>
      <c r="R74" s="13" t="s">
        <v>127</v>
      </c>
      <c r="S74" s="7" t="e">
        <f t="shared" si="30"/>
        <v>#N/A</v>
      </c>
      <c r="T74" s="9"/>
      <c r="U74" s="10"/>
      <c r="V74" s="96" t="e">
        <f t="shared" si="29"/>
        <v>#N/A</v>
      </c>
      <c r="W74" s="4">
        <f>CEILING((H74*(SlimFix!$J$32/1000))+(I74*(SlimFix!$J$50/1000)),1)</f>
        <v>0</v>
      </c>
      <c r="X74" t="s">
        <v>191</v>
      </c>
      <c r="Y74" s="109">
        <v>3</v>
      </c>
      <c r="Z74" t="e">
        <f t="shared" si="31"/>
        <v>#N/A</v>
      </c>
    </row>
    <row r="75" spans="1:26" x14ac:dyDescent="0.25">
      <c r="A75" s="1" t="s">
        <v>18</v>
      </c>
      <c r="B75" s="12">
        <v>5.5</v>
      </c>
      <c r="C75" s="86" t="str">
        <f t="shared" si="14"/>
        <v>SlimFix-XT 3/3R 5,5</v>
      </c>
      <c r="D75" s="7">
        <v>3</v>
      </c>
      <c r="E75" s="10">
        <v>10.5</v>
      </c>
      <c r="F75" s="7" t="s">
        <v>128</v>
      </c>
      <c r="G75" s="7">
        <v>100</v>
      </c>
      <c r="H75" s="94">
        <f>CEILING(SlimFix!$D$32*SlimFix!$J$44/1020,1)</f>
        <v>0</v>
      </c>
      <c r="I75" s="94">
        <f>CEILING(SlimFix!$D$50*SlimFix!$J$57/1020,1)</f>
        <v>0</v>
      </c>
      <c r="J75" s="7">
        <f>((H75*SlimFix!$D$35)+(I75*SlimFix!$D$52))*3</f>
        <v>0</v>
      </c>
      <c r="K75" s="5" t="s">
        <v>128</v>
      </c>
      <c r="L75" s="5">
        <v>100</v>
      </c>
      <c r="M75" s="5">
        <v>6</v>
      </c>
      <c r="N75" s="5" t="e">
        <f>IF(calcu!$I$36&lt;=0,0,calcu!$I$36)</f>
        <v>#N/A</v>
      </c>
      <c r="O75" s="5" t="e">
        <f>IF(calcu!$T$36&lt;=0,0,calcu!$T$36)</f>
        <v>#N/A</v>
      </c>
      <c r="P75" s="5" t="e">
        <f t="shared" si="28"/>
        <v>#N/A</v>
      </c>
      <c r="R75" s="13" t="s">
        <v>128</v>
      </c>
      <c r="S75" s="7" t="e">
        <f t="shared" si="30"/>
        <v>#N/A</v>
      </c>
      <c r="T75" s="9"/>
      <c r="U75" s="10"/>
      <c r="V75" s="96" t="e">
        <f t="shared" si="29"/>
        <v>#N/A</v>
      </c>
      <c r="W75" s="4">
        <f>CEILING((H75*(SlimFix!$J$32/1000))+(I75*(SlimFix!$J$50/1000)),1)</f>
        <v>0</v>
      </c>
      <c r="X75" t="s">
        <v>191</v>
      </c>
      <c r="Y75" s="109">
        <v>3</v>
      </c>
      <c r="Z75" t="e">
        <f t="shared" si="31"/>
        <v>#N/A</v>
      </c>
    </row>
    <row r="76" spans="1:26" x14ac:dyDescent="0.25">
      <c r="A76" s="1" t="s">
        <v>18</v>
      </c>
      <c r="B76" s="12">
        <v>6</v>
      </c>
      <c r="C76" s="86" t="str">
        <f t="shared" si="14"/>
        <v>SlimFix-XT 3/3R 6</v>
      </c>
      <c r="D76" s="7">
        <v>3</v>
      </c>
      <c r="E76" s="10">
        <v>10.5</v>
      </c>
      <c r="F76" s="7" t="s">
        <v>129</v>
      </c>
      <c r="G76" s="7">
        <v>100</v>
      </c>
      <c r="H76" s="94">
        <f>CEILING(SlimFix!$D$32*SlimFix!$J$44/1020,1)</f>
        <v>0</v>
      </c>
      <c r="I76" s="94">
        <f>CEILING(SlimFix!$D$50*SlimFix!$J$57/1020,1)</f>
        <v>0</v>
      </c>
      <c r="J76" s="7">
        <f>((H76*SlimFix!$D$35)+(I76*SlimFix!$D$52))*3</f>
        <v>0</v>
      </c>
      <c r="K76" s="5" t="s">
        <v>129</v>
      </c>
      <c r="L76" s="5">
        <v>100</v>
      </c>
      <c r="M76" s="5">
        <v>6</v>
      </c>
      <c r="N76" s="5" t="e">
        <f>IF(calcu!$I$36&lt;=0,0,calcu!$I$36)</f>
        <v>#N/A</v>
      </c>
      <c r="O76" s="5" t="e">
        <f>IF(calcu!$T$36&lt;=0,0,calcu!$T$36)</f>
        <v>#N/A</v>
      </c>
      <c r="P76" s="5" t="e">
        <f t="shared" si="28"/>
        <v>#N/A</v>
      </c>
      <c r="R76" s="13" t="s">
        <v>129</v>
      </c>
      <c r="S76" s="7" t="e">
        <f t="shared" si="30"/>
        <v>#N/A</v>
      </c>
      <c r="T76" s="9"/>
      <c r="U76" s="10"/>
      <c r="V76" s="96" t="e">
        <f t="shared" si="29"/>
        <v>#N/A</v>
      </c>
      <c r="W76" s="4">
        <f>CEILING((H76*(SlimFix!$J$32/1000))+(I76*(SlimFix!$J$50/1000)),1)</f>
        <v>0</v>
      </c>
      <c r="X76" t="s">
        <v>191</v>
      </c>
      <c r="Y76" s="109">
        <v>3</v>
      </c>
      <c r="Z76" t="e">
        <f t="shared" si="31"/>
        <v>#N/A</v>
      </c>
    </row>
    <row r="77" spans="1:26" x14ac:dyDescent="0.25">
      <c r="A77" s="1" t="s">
        <v>18</v>
      </c>
      <c r="B77" s="12">
        <v>6.3</v>
      </c>
      <c r="C77" s="86" t="str">
        <f t="shared" ref="C77:C106" si="32">A77&amp;" "&amp;B77</f>
        <v>SlimFix-XT 3/3R 6,3</v>
      </c>
      <c r="D77" s="7">
        <v>3</v>
      </c>
      <c r="E77" s="10">
        <v>10.5</v>
      </c>
      <c r="F77" s="7" t="s">
        <v>129</v>
      </c>
      <c r="G77" s="7">
        <v>100</v>
      </c>
      <c r="H77" s="94">
        <f>CEILING(SlimFix!$D$32*SlimFix!$J$44/1020,1)</f>
        <v>0</v>
      </c>
      <c r="I77" s="94">
        <f>CEILING(SlimFix!$D$50*SlimFix!$J$57/1020,1)</f>
        <v>0</v>
      </c>
      <c r="J77" s="7">
        <f>((H77*SlimFix!$D$35)+(I77*SlimFix!$D$52))*3</f>
        <v>0</v>
      </c>
      <c r="K77" s="5" t="s">
        <v>129</v>
      </c>
      <c r="L77" s="5">
        <v>100</v>
      </c>
      <c r="M77" s="5">
        <v>6</v>
      </c>
      <c r="N77" s="5" t="e">
        <f>IF(calcu!$I$36&lt;=0,0,calcu!$I$36)</f>
        <v>#N/A</v>
      </c>
      <c r="O77" s="5" t="e">
        <f>IF(calcu!$T$36&lt;=0,0,calcu!$T$36)</f>
        <v>#N/A</v>
      </c>
      <c r="P77" s="5" t="e">
        <f t="shared" si="28"/>
        <v>#N/A</v>
      </c>
      <c r="R77" s="13" t="s">
        <v>129</v>
      </c>
      <c r="S77" s="7" t="e">
        <f t="shared" si="30"/>
        <v>#N/A</v>
      </c>
      <c r="T77" s="9"/>
      <c r="U77" s="10"/>
      <c r="V77" s="96" t="e">
        <f t="shared" si="29"/>
        <v>#N/A</v>
      </c>
      <c r="W77" s="4">
        <f>CEILING((H77*(SlimFix!$J$32/1000))+(I77*(SlimFix!$J$50/1000)),1)</f>
        <v>0</v>
      </c>
      <c r="X77" t="s">
        <v>191</v>
      </c>
      <c r="Y77" s="109">
        <v>3</v>
      </c>
      <c r="Z77" t="e">
        <f t="shared" si="31"/>
        <v>#N/A</v>
      </c>
    </row>
    <row r="78" spans="1:26" x14ac:dyDescent="0.25">
      <c r="A78" s="1" t="s">
        <v>18</v>
      </c>
      <c r="B78" s="12">
        <v>7</v>
      </c>
      <c r="C78" s="86" t="str">
        <f t="shared" si="32"/>
        <v>SlimFix-XT 3/3R 7</v>
      </c>
      <c r="D78" s="7">
        <v>3</v>
      </c>
      <c r="E78" s="10">
        <v>11.5</v>
      </c>
      <c r="F78" s="7" t="s">
        <v>130</v>
      </c>
      <c r="G78" s="7">
        <v>100</v>
      </c>
      <c r="H78" s="94">
        <f>CEILING(SlimFix!$D$32*SlimFix!$J$44/1020,1)</f>
        <v>0</v>
      </c>
      <c r="I78" s="94">
        <f>CEILING(SlimFix!$D$50*SlimFix!$J$57/1020,1)</f>
        <v>0</v>
      </c>
      <c r="J78" s="7">
        <f>((H78*SlimFix!$D$35)+(I78*SlimFix!$D$52))*3</f>
        <v>0</v>
      </c>
      <c r="K78" s="5" t="s">
        <v>130</v>
      </c>
      <c r="L78" s="5">
        <v>100</v>
      </c>
      <c r="M78" s="5">
        <v>6</v>
      </c>
      <c r="N78" s="5" t="e">
        <f>IF(calcu!$I$36&lt;=0,0,calcu!$I$36)</f>
        <v>#N/A</v>
      </c>
      <c r="O78" s="5" t="e">
        <f>IF(calcu!$T$36&lt;=0,0,calcu!$T$36)</f>
        <v>#N/A</v>
      </c>
      <c r="P78" s="5" t="e">
        <f t="shared" si="28"/>
        <v>#N/A</v>
      </c>
      <c r="R78" s="13" t="s">
        <v>130</v>
      </c>
      <c r="S78" s="7" t="e">
        <f t="shared" si="30"/>
        <v>#N/A</v>
      </c>
      <c r="T78" s="9"/>
      <c r="U78" s="10"/>
      <c r="V78" s="96" t="e">
        <f t="shared" si="29"/>
        <v>#N/A</v>
      </c>
      <c r="W78" s="4">
        <f>CEILING((H78*(SlimFix!$J$32/1000))+(I78*(SlimFix!$J$50/1000)),1)</f>
        <v>0</v>
      </c>
      <c r="X78" t="s">
        <v>191</v>
      </c>
      <c r="Y78" s="109">
        <v>3</v>
      </c>
      <c r="Z78" t="e">
        <f t="shared" si="31"/>
        <v>#N/A</v>
      </c>
    </row>
    <row r="79" spans="1:26" x14ac:dyDescent="0.25">
      <c r="A79" s="1" t="s">
        <v>183</v>
      </c>
      <c r="B79" s="12">
        <v>3.5</v>
      </c>
      <c r="C79" s="86" t="str">
        <f t="shared" ref="C79:C86" si="33">A79&amp;" "&amp;B79</f>
        <v>SlimFix-XT 8/8L 3,5</v>
      </c>
      <c r="D79" s="7">
        <v>8</v>
      </c>
      <c r="E79" s="10">
        <v>15.5</v>
      </c>
      <c r="F79" s="7" t="s">
        <v>126</v>
      </c>
      <c r="G79" s="7">
        <v>100</v>
      </c>
      <c r="H79" s="94">
        <f>CEILING(SlimFix!$D$32*SlimFix!$J$44/1020,1)</f>
        <v>0</v>
      </c>
      <c r="I79" s="94">
        <f>CEILING(SlimFix!$D$50*SlimFix!$J$57/1020,1)</f>
        <v>0</v>
      </c>
      <c r="J79" s="7">
        <f>((H79*SlimFix!$D$35)+(I79*SlimFix!$D$52))*3</f>
        <v>0</v>
      </c>
      <c r="K79" s="5" t="s">
        <v>148</v>
      </c>
      <c r="L79" s="5">
        <v>50</v>
      </c>
      <c r="M79" s="5">
        <v>8</v>
      </c>
      <c r="N79" s="5" t="e">
        <f>IF(calcu!$I$29&lt;=0,0,calcu!$I$29)</f>
        <v>#N/A</v>
      </c>
      <c r="O79" s="5" t="e">
        <f>IF(OR(I79=0,calcu!$T$29&lt;=0),0,calcu!$T$29)</f>
        <v>#N/A</v>
      </c>
      <c r="P79" s="5" t="e">
        <f t="shared" ref="P79:P86" si="34">(H79*N79)+(I79*O79)</f>
        <v>#N/A</v>
      </c>
      <c r="R79" s="13" t="str">
        <f t="shared" ref="R79:R85" si="35">F79</f>
        <v>Schroef 220xØ6</v>
      </c>
      <c r="S79" s="7">
        <f t="shared" ref="S79:S85" si="36">CEILING(J79/G79,1)</f>
        <v>0</v>
      </c>
      <c r="T79" s="6" t="str">
        <f t="shared" ref="T79:T86" si="37">K79</f>
        <v>Schroef 200xØ8</v>
      </c>
      <c r="U79" s="5" t="e">
        <f t="shared" ref="U79:U85" si="38">CEILING(P79/L79,1)</f>
        <v>#N/A</v>
      </c>
      <c r="V79" s="96" t="e">
        <f t="shared" ref="V79:V85" si="39">CEILING(P79/100,1)</f>
        <v>#N/A</v>
      </c>
      <c r="W79" s="4">
        <f>CEILING((H79*(SlimFix!$J$32/1000))+(I79*(SlimFix!$J$50/1000)),1)</f>
        <v>0</v>
      </c>
      <c r="X79" t="s">
        <v>191</v>
      </c>
      <c r="Y79" s="121">
        <v>3</v>
      </c>
      <c r="Z79" t="s">
        <v>195</v>
      </c>
    </row>
    <row r="80" spans="1:26" x14ac:dyDescent="0.25">
      <c r="A80" s="1" t="s">
        <v>183</v>
      </c>
      <c r="B80" s="12">
        <v>4</v>
      </c>
      <c r="C80" s="86" t="str">
        <f t="shared" si="33"/>
        <v>SlimFix-XT 8/8L 4</v>
      </c>
      <c r="D80" s="7">
        <v>8</v>
      </c>
      <c r="E80" s="10">
        <v>16</v>
      </c>
      <c r="F80" s="7" t="s">
        <v>126</v>
      </c>
      <c r="G80" s="7">
        <v>100</v>
      </c>
      <c r="H80" s="94">
        <f>CEILING(SlimFix!$D$32*SlimFix!$J$44/1020,1)</f>
        <v>0</v>
      </c>
      <c r="I80" s="94">
        <f>CEILING(SlimFix!$D$50*SlimFix!$J$57/1020,1)</f>
        <v>0</v>
      </c>
      <c r="J80" s="7">
        <f>((H80*SlimFix!$D$35)+(I80*SlimFix!$D$52))*3</f>
        <v>0</v>
      </c>
      <c r="K80" s="5" t="s">
        <v>153</v>
      </c>
      <c r="L80" s="5">
        <v>50</v>
      </c>
      <c r="M80" s="5">
        <v>8</v>
      </c>
      <c r="N80" s="5" t="e">
        <f>IF(calcu!$I$29&lt;=0,0,calcu!$I$29)</f>
        <v>#N/A</v>
      </c>
      <c r="O80" s="5" t="e">
        <f>IF(OR(I80=0,calcu!$T$29&lt;=0),0,calcu!$T$29)</f>
        <v>#N/A</v>
      </c>
      <c r="P80" s="5" t="e">
        <f t="shared" si="34"/>
        <v>#N/A</v>
      </c>
      <c r="R80" s="13" t="str">
        <f t="shared" si="35"/>
        <v>Schroef 220xØ6</v>
      </c>
      <c r="S80" s="7">
        <f t="shared" si="36"/>
        <v>0</v>
      </c>
      <c r="T80" s="6" t="str">
        <f t="shared" si="37"/>
        <v>Schroef 220xØ8</v>
      </c>
      <c r="U80" s="5" t="e">
        <f t="shared" si="38"/>
        <v>#N/A</v>
      </c>
      <c r="V80" s="96" t="e">
        <f t="shared" si="39"/>
        <v>#N/A</v>
      </c>
      <c r="W80" s="4">
        <f>CEILING((H80*(SlimFix!$J$32/1000))+(I80*(SlimFix!$J$50/1000)),1)</f>
        <v>0</v>
      </c>
      <c r="X80" t="s">
        <v>191</v>
      </c>
      <c r="Y80" s="121">
        <v>3</v>
      </c>
      <c r="Z80" t="s">
        <v>195</v>
      </c>
    </row>
    <row r="81" spans="1:26" x14ac:dyDescent="0.25">
      <c r="A81" s="1" t="s">
        <v>183</v>
      </c>
      <c r="B81" s="12">
        <v>4.5</v>
      </c>
      <c r="C81" s="86" t="str">
        <f t="shared" si="33"/>
        <v>SlimFix-XT 8/8L 4,5</v>
      </c>
      <c r="D81" s="7">
        <v>8</v>
      </c>
      <c r="E81" s="10">
        <v>17</v>
      </c>
      <c r="F81" s="7" t="s">
        <v>127</v>
      </c>
      <c r="G81" s="7">
        <v>100</v>
      </c>
      <c r="H81" s="94">
        <f>CEILING(SlimFix!$D$32*SlimFix!$J$44/1020,1)</f>
        <v>0</v>
      </c>
      <c r="I81" s="94">
        <f>CEILING(SlimFix!$D$50*SlimFix!$J$57/1020,1)</f>
        <v>0</v>
      </c>
      <c r="J81" s="7">
        <f>((H81*SlimFix!$D$35)+(I81*SlimFix!$D$52))*3</f>
        <v>0</v>
      </c>
      <c r="K81" s="5" t="s">
        <v>149</v>
      </c>
      <c r="L81" s="5">
        <v>50</v>
      </c>
      <c r="M81" s="5">
        <v>8</v>
      </c>
      <c r="N81" s="5" t="e">
        <f>IF(calcu!$I$29&lt;=0,0,calcu!$I$29)</f>
        <v>#N/A</v>
      </c>
      <c r="O81" s="5" t="e">
        <f>IF(OR(I81=0,calcu!$T$29&lt;=0),0,calcu!$T$29)</f>
        <v>#N/A</v>
      </c>
      <c r="P81" s="5" t="e">
        <f t="shared" si="34"/>
        <v>#N/A</v>
      </c>
      <c r="R81" s="13" t="str">
        <f t="shared" si="35"/>
        <v>Schroef 240xØ6</v>
      </c>
      <c r="S81" s="7">
        <f t="shared" si="36"/>
        <v>0</v>
      </c>
      <c r="T81" s="6" t="str">
        <f t="shared" si="37"/>
        <v>Schroef 240xØ8</v>
      </c>
      <c r="U81" s="5" t="e">
        <f t="shared" si="38"/>
        <v>#N/A</v>
      </c>
      <c r="V81" s="96" t="e">
        <f t="shared" si="39"/>
        <v>#N/A</v>
      </c>
      <c r="W81" s="4">
        <f>CEILING((H81*(SlimFix!$J$32/1000))+(I81*(SlimFix!$J$50/1000)),1)</f>
        <v>0</v>
      </c>
      <c r="X81" t="s">
        <v>191</v>
      </c>
      <c r="Y81" s="121">
        <v>3</v>
      </c>
      <c r="Z81" t="s">
        <v>195</v>
      </c>
    </row>
    <row r="82" spans="1:26" x14ac:dyDescent="0.25">
      <c r="A82" s="1" t="s">
        <v>183</v>
      </c>
      <c r="B82" s="12">
        <v>5</v>
      </c>
      <c r="C82" s="86" t="str">
        <f t="shared" si="33"/>
        <v>SlimFix-XT 8/8L 5</v>
      </c>
      <c r="D82" s="7">
        <v>8</v>
      </c>
      <c r="E82" s="10">
        <v>17.5</v>
      </c>
      <c r="F82" s="7" t="s">
        <v>128</v>
      </c>
      <c r="G82" s="7">
        <v>100</v>
      </c>
      <c r="H82" s="94">
        <f>CEILING(SlimFix!$D$32*SlimFix!$J$44/1020,1)</f>
        <v>0</v>
      </c>
      <c r="I82" s="94">
        <f>CEILING(SlimFix!$D$50*SlimFix!$J$57/1020,1)</f>
        <v>0</v>
      </c>
      <c r="J82" s="7">
        <f>((H82*SlimFix!$D$35)+(I82*SlimFix!$D$52))*3</f>
        <v>0</v>
      </c>
      <c r="K82" s="5" t="s">
        <v>150</v>
      </c>
      <c r="L82" s="5">
        <v>50</v>
      </c>
      <c r="M82" s="5">
        <v>8</v>
      </c>
      <c r="N82" s="5" t="e">
        <f>IF(calcu!$I$29&lt;=0,0,calcu!$I$29)</f>
        <v>#N/A</v>
      </c>
      <c r="O82" s="5" t="e">
        <f>IF(OR(I82=0,calcu!$T$29&lt;=0),0,calcu!$T$29)</f>
        <v>#N/A</v>
      </c>
      <c r="P82" s="5" t="e">
        <f t="shared" si="34"/>
        <v>#N/A</v>
      </c>
      <c r="R82" s="13" t="str">
        <f t="shared" si="35"/>
        <v>Schroef 260xØ6</v>
      </c>
      <c r="S82" s="7">
        <f t="shared" si="36"/>
        <v>0</v>
      </c>
      <c r="T82" s="6" t="str">
        <f t="shared" si="37"/>
        <v>Schroef 260xØ8</v>
      </c>
      <c r="U82" s="5" t="e">
        <f t="shared" si="38"/>
        <v>#N/A</v>
      </c>
      <c r="V82" s="96" t="e">
        <f t="shared" si="39"/>
        <v>#N/A</v>
      </c>
      <c r="W82" s="4">
        <f>CEILING((H82*(SlimFix!$J$32/1000))+(I82*(SlimFix!$J$50/1000)),1)</f>
        <v>0</v>
      </c>
      <c r="X82" t="s">
        <v>191</v>
      </c>
      <c r="Y82" s="121">
        <v>3</v>
      </c>
      <c r="Z82" t="s">
        <v>195</v>
      </c>
    </row>
    <row r="83" spans="1:26" x14ac:dyDescent="0.25">
      <c r="A83" s="1" t="s">
        <v>183</v>
      </c>
      <c r="B83" s="12">
        <v>5.5</v>
      </c>
      <c r="C83" s="86" t="str">
        <f t="shared" si="33"/>
        <v>SlimFix-XT 8/8L 5,5</v>
      </c>
      <c r="D83" s="7">
        <v>8</v>
      </c>
      <c r="E83" s="10">
        <v>18</v>
      </c>
      <c r="F83" s="7" t="s">
        <v>129</v>
      </c>
      <c r="G83" s="7">
        <v>100</v>
      </c>
      <c r="H83" s="94">
        <f>CEILING(SlimFix!$D$32*SlimFix!$J$44/1020,1)</f>
        <v>0</v>
      </c>
      <c r="I83" s="94">
        <f>CEILING(SlimFix!$D$50*SlimFix!$J$57/1020,1)</f>
        <v>0</v>
      </c>
      <c r="J83" s="7">
        <f>((H83*SlimFix!$D$35)+(I83*SlimFix!$D$52))*3</f>
        <v>0</v>
      </c>
      <c r="K83" s="5" t="s">
        <v>150</v>
      </c>
      <c r="L83" s="5">
        <v>50</v>
      </c>
      <c r="M83" s="5">
        <v>8</v>
      </c>
      <c r="N83" s="5" t="e">
        <f>IF(calcu!$I$29&lt;=0,0,calcu!$I$29)</f>
        <v>#N/A</v>
      </c>
      <c r="O83" s="5" t="e">
        <f>IF(OR(I83=0,calcu!$T$29&lt;=0),0,calcu!$T$29)</f>
        <v>#N/A</v>
      </c>
      <c r="P83" s="5" t="e">
        <f t="shared" si="34"/>
        <v>#N/A</v>
      </c>
      <c r="R83" s="13" t="str">
        <f t="shared" si="35"/>
        <v>Schroef 280xØ6</v>
      </c>
      <c r="S83" s="7">
        <f t="shared" si="36"/>
        <v>0</v>
      </c>
      <c r="T83" s="6" t="str">
        <f t="shared" si="37"/>
        <v>Schroef 260xØ8</v>
      </c>
      <c r="U83" s="5" t="e">
        <f t="shared" si="38"/>
        <v>#N/A</v>
      </c>
      <c r="V83" s="96" t="e">
        <f t="shared" si="39"/>
        <v>#N/A</v>
      </c>
      <c r="W83" s="4">
        <f>CEILING((H83*(SlimFix!$J$32/1000))+(I83*(SlimFix!$J$50/1000)),1)</f>
        <v>0</v>
      </c>
      <c r="X83" t="s">
        <v>191</v>
      </c>
      <c r="Y83" s="121">
        <v>3</v>
      </c>
      <c r="Z83" t="s">
        <v>195</v>
      </c>
    </row>
    <row r="84" spans="1:26" x14ac:dyDescent="0.25">
      <c r="A84" s="1" t="s">
        <v>183</v>
      </c>
      <c r="B84" s="12">
        <v>6</v>
      </c>
      <c r="C84" s="86" t="str">
        <f t="shared" si="33"/>
        <v>SlimFix-XT 8/8L 6</v>
      </c>
      <c r="D84" s="7">
        <v>8</v>
      </c>
      <c r="E84" s="10">
        <v>18.5</v>
      </c>
      <c r="F84" s="7" t="s">
        <v>130</v>
      </c>
      <c r="G84" s="7">
        <v>100</v>
      </c>
      <c r="H84" s="94">
        <f>CEILING(SlimFix!$D$32*SlimFix!$J$44/1020,1)</f>
        <v>0</v>
      </c>
      <c r="I84" s="94">
        <f>CEILING(SlimFix!$D$50*SlimFix!$J$57/1020,1)</f>
        <v>0</v>
      </c>
      <c r="J84" s="7">
        <f>((H84*SlimFix!$D$35)+(I84*SlimFix!$D$52))*3</f>
        <v>0</v>
      </c>
      <c r="K84" s="5" t="s">
        <v>151</v>
      </c>
      <c r="L84" s="5">
        <v>50</v>
      </c>
      <c r="M84" s="5">
        <v>8</v>
      </c>
      <c r="N84" s="5" t="e">
        <f>IF(calcu!$I$29&lt;=0,0,calcu!$I$29)</f>
        <v>#N/A</v>
      </c>
      <c r="O84" s="5" t="e">
        <f>IF(OR(I84=0,calcu!$T$29&lt;=0),0,calcu!$T$29)</f>
        <v>#N/A</v>
      </c>
      <c r="P84" s="5" t="e">
        <f t="shared" si="34"/>
        <v>#N/A</v>
      </c>
      <c r="R84" s="13" t="str">
        <f t="shared" si="35"/>
        <v>Schroef 300xØ6</v>
      </c>
      <c r="S84" s="7">
        <f t="shared" si="36"/>
        <v>0</v>
      </c>
      <c r="T84" s="6" t="str">
        <f t="shared" si="37"/>
        <v>Schroef 280xØ8</v>
      </c>
      <c r="U84" s="5" t="e">
        <f t="shared" si="38"/>
        <v>#N/A</v>
      </c>
      <c r="V84" s="96" t="e">
        <f t="shared" si="39"/>
        <v>#N/A</v>
      </c>
      <c r="W84" s="4">
        <f>CEILING((H84*(SlimFix!$J$32/1000))+(I84*(SlimFix!$J$50/1000)),1)</f>
        <v>0</v>
      </c>
      <c r="X84" t="s">
        <v>191</v>
      </c>
      <c r="Y84" s="121">
        <v>3</v>
      </c>
      <c r="Z84" t="s">
        <v>195</v>
      </c>
    </row>
    <row r="85" spans="1:26" x14ac:dyDescent="0.25">
      <c r="A85" s="1" t="s">
        <v>183</v>
      </c>
      <c r="B85" s="12">
        <v>6.3</v>
      </c>
      <c r="C85" s="86" t="str">
        <f t="shared" si="33"/>
        <v>SlimFix-XT 8/8L 6,3</v>
      </c>
      <c r="D85" s="7">
        <v>8</v>
      </c>
      <c r="E85" s="10">
        <v>19</v>
      </c>
      <c r="F85" s="7" t="s">
        <v>130</v>
      </c>
      <c r="G85" s="7">
        <v>100</v>
      </c>
      <c r="H85" s="94">
        <f>CEILING(SlimFix!$D$32*SlimFix!$J$44/1020,1)</f>
        <v>0</v>
      </c>
      <c r="I85" s="94">
        <f>CEILING(SlimFix!$D$50*SlimFix!$J$57/1020,1)</f>
        <v>0</v>
      </c>
      <c r="J85" s="7">
        <f>((H85*SlimFix!$D$35)+(I85*SlimFix!$D$52))*3</f>
        <v>0</v>
      </c>
      <c r="K85" s="5" t="s">
        <v>151</v>
      </c>
      <c r="L85" s="5">
        <v>50</v>
      </c>
      <c r="M85" s="5">
        <v>8</v>
      </c>
      <c r="N85" s="5" t="e">
        <f>IF(calcu!$I$29&lt;=0,0,calcu!$I$29)</f>
        <v>#N/A</v>
      </c>
      <c r="O85" s="5" t="e">
        <f>IF(OR(I85=0,calcu!$T$29&lt;=0),0,calcu!$T$29)</f>
        <v>#N/A</v>
      </c>
      <c r="P85" s="5" t="e">
        <f t="shared" si="34"/>
        <v>#N/A</v>
      </c>
      <c r="R85" s="13" t="str">
        <f t="shared" si="35"/>
        <v>Schroef 300xØ6</v>
      </c>
      <c r="S85" s="7">
        <f t="shared" si="36"/>
        <v>0</v>
      </c>
      <c r="T85" s="6" t="str">
        <f t="shared" si="37"/>
        <v>Schroef 280xØ8</v>
      </c>
      <c r="U85" s="5" t="e">
        <f t="shared" si="38"/>
        <v>#N/A</v>
      </c>
      <c r="V85" s="96" t="e">
        <f t="shared" si="39"/>
        <v>#N/A</v>
      </c>
      <c r="W85" s="4">
        <f>CEILING((H85*(SlimFix!$J$32/1000))+(I85*(SlimFix!$J$50/1000)),1)</f>
        <v>0</v>
      </c>
      <c r="X85" t="s">
        <v>191</v>
      </c>
      <c r="Y85" s="121">
        <v>3</v>
      </c>
      <c r="Z85" t="s">
        <v>195</v>
      </c>
    </row>
    <row r="86" spans="1:26" x14ac:dyDescent="0.25">
      <c r="A86" s="1" t="s">
        <v>183</v>
      </c>
      <c r="B86" s="12">
        <v>7</v>
      </c>
      <c r="C86" s="86" t="str">
        <f t="shared" si="33"/>
        <v>SlimFix-XT 8/8L 7</v>
      </c>
      <c r="D86" s="7">
        <v>8</v>
      </c>
      <c r="E86" s="10">
        <v>20</v>
      </c>
      <c r="F86" s="7" t="s">
        <v>132</v>
      </c>
      <c r="G86" s="7">
        <v>50</v>
      </c>
      <c r="H86" s="94">
        <f>CEILING(SlimFix!$D$32*SlimFix!$J$44/1020,1)</f>
        <v>0</v>
      </c>
      <c r="I86" s="94">
        <f>CEILING(SlimFix!$D$50*SlimFix!$J$57/1020,1)</f>
        <v>0</v>
      </c>
      <c r="J86" s="7">
        <f>((H86*SlimFix!$D$35)+(I86*SlimFix!$D$52))*2</f>
        <v>0</v>
      </c>
      <c r="K86" s="5" t="s">
        <v>132</v>
      </c>
      <c r="L86" s="5">
        <v>50</v>
      </c>
      <c r="M86" s="5">
        <v>8</v>
      </c>
      <c r="N86" s="5" t="e">
        <f>IF(calcu!$I$29&lt;=0,0,calcu!$I$29)</f>
        <v>#N/A</v>
      </c>
      <c r="O86" s="5" t="e">
        <f>IF(OR(I86=0,calcu!$T$29&lt;=0),0,calcu!$T$29)</f>
        <v>#N/A</v>
      </c>
      <c r="P86" s="5" t="e">
        <f t="shared" si="34"/>
        <v>#N/A</v>
      </c>
      <c r="R86" s="9"/>
      <c r="S86" s="10"/>
      <c r="T86" s="6" t="str">
        <f t="shared" si="37"/>
        <v>Schroef 320xØ8</v>
      </c>
      <c r="U86" s="5" t="e">
        <f>CEILING((P86+J86)/L86,1)</f>
        <v>#N/A</v>
      </c>
      <c r="V86" s="96" t="e">
        <f>CEILING((P86+J86)/100,1)</f>
        <v>#N/A</v>
      </c>
      <c r="W86" s="4">
        <f>CEILING((H86*(SlimFix!$J$32/1000))+(I86*(SlimFix!$J$50/1000)),1)</f>
        <v>0</v>
      </c>
      <c r="X86" t="s">
        <v>192</v>
      </c>
      <c r="Y86" s="121">
        <v>2</v>
      </c>
      <c r="Z86" t="s">
        <v>195</v>
      </c>
    </row>
    <row r="87" spans="1:26" x14ac:dyDescent="0.25">
      <c r="A87" s="1" t="s">
        <v>19</v>
      </c>
      <c r="B87" s="12">
        <v>3.5</v>
      </c>
      <c r="C87" s="86" t="str">
        <f t="shared" si="32"/>
        <v>SlimFix-XT 8/8R 3,5</v>
      </c>
      <c r="D87" s="7">
        <v>8</v>
      </c>
      <c r="E87" s="10">
        <v>14.5</v>
      </c>
      <c r="F87" s="7" t="s">
        <v>125</v>
      </c>
      <c r="G87" s="7">
        <v>100</v>
      </c>
      <c r="H87" s="94">
        <f>CEILING(SlimFix!$D$32*SlimFix!$J$44/1020,1)</f>
        <v>0</v>
      </c>
      <c r="I87" s="94">
        <f>CEILING(SlimFix!$D$50*SlimFix!$J$57/1020,1)</f>
        <v>0</v>
      </c>
      <c r="J87" s="7">
        <f>((H87*SlimFix!$D$35)+(I87*SlimFix!$D$52))*3</f>
        <v>0</v>
      </c>
      <c r="K87" s="5" t="s">
        <v>125</v>
      </c>
      <c r="L87" s="5">
        <v>100</v>
      </c>
      <c r="M87" s="5">
        <v>6</v>
      </c>
      <c r="N87" s="5" t="e">
        <f>IF(calcu!$I$37&lt;=0,0,calcu!$I$37)</f>
        <v>#N/A</v>
      </c>
      <c r="O87" s="5" t="e">
        <f>IF(calcu!$T$37&lt;=0,0,calcu!$T$37)</f>
        <v>#N/A</v>
      </c>
      <c r="P87" s="5" t="e">
        <f t="shared" si="28"/>
        <v>#N/A</v>
      </c>
      <c r="R87" s="13" t="s">
        <v>125</v>
      </c>
      <c r="S87" s="7" t="e">
        <f t="shared" si="30"/>
        <v>#N/A</v>
      </c>
      <c r="T87" s="9"/>
      <c r="U87" s="10"/>
      <c r="V87" s="96" t="e">
        <f t="shared" si="29"/>
        <v>#N/A</v>
      </c>
      <c r="W87" s="4">
        <f>CEILING((H87*(SlimFix!$J$32/1000))+(I87*(SlimFix!$J$50/1000)),1)</f>
        <v>0</v>
      </c>
      <c r="X87" t="s">
        <v>191</v>
      </c>
      <c r="Y87" s="109">
        <v>3</v>
      </c>
      <c r="Z87" t="e">
        <f t="shared" si="31"/>
        <v>#N/A</v>
      </c>
    </row>
    <row r="88" spans="1:26" x14ac:dyDescent="0.25">
      <c r="A88" s="1" t="s">
        <v>19</v>
      </c>
      <c r="B88" s="12">
        <v>4</v>
      </c>
      <c r="C88" s="86" t="str">
        <f t="shared" si="32"/>
        <v>SlimFix-XT 8/8R 4</v>
      </c>
      <c r="D88" s="7">
        <v>8</v>
      </c>
      <c r="E88" s="10">
        <v>14.5</v>
      </c>
      <c r="F88" s="7" t="s">
        <v>126</v>
      </c>
      <c r="G88" s="7">
        <v>100</v>
      </c>
      <c r="H88" s="94">
        <f>CEILING(SlimFix!$D$32*SlimFix!$J$44/1020,1)</f>
        <v>0</v>
      </c>
      <c r="I88" s="94">
        <f>CEILING(SlimFix!$D$50*SlimFix!$J$57/1020,1)</f>
        <v>0</v>
      </c>
      <c r="J88" s="7">
        <f>((H88*SlimFix!$D$35)+(I88*SlimFix!$D$52))*3</f>
        <v>0</v>
      </c>
      <c r="K88" s="5" t="s">
        <v>126</v>
      </c>
      <c r="L88" s="5">
        <v>100</v>
      </c>
      <c r="M88" s="5">
        <v>6</v>
      </c>
      <c r="N88" s="5" t="e">
        <f>IF(calcu!$I$37&lt;=0,0,calcu!$I$37)</f>
        <v>#N/A</v>
      </c>
      <c r="O88" s="5" t="e">
        <f>IF(calcu!$T$37&lt;=0,0,calcu!$T$37)</f>
        <v>#N/A</v>
      </c>
      <c r="P88" s="5" t="e">
        <f t="shared" si="28"/>
        <v>#N/A</v>
      </c>
      <c r="R88" s="13" t="s">
        <v>126</v>
      </c>
      <c r="S88" s="7" t="e">
        <f t="shared" si="30"/>
        <v>#N/A</v>
      </c>
      <c r="T88" s="9"/>
      <c r="U88" s="10"/>
      <c r="V88" s="96" t="e">
        <f t="shared" si="29"/>
        <v>#N/A</v>
      </c>
      <c r="W88" s="4">
        <f>CEILING((H88*(SlimFix!$J$32/1000))+(I88*(SlimFix!$J$50/1000)),1)</f>
        <v>0</v>
      </c>
      <c r="X88" t="s">
        <v>191</v>
      </c>
      <c r="Y88" s="109">
        <v>3</v>
      </c>
      <c r="Z88" t="e">
        <f t="shared" si="31"/>
        <v>#N/A</v>
      </c>
    </row>
    <row r="89" spans="1:26" x14ac:dyDescent="0.25">
      <c r="A89" s="1" t="s">
        <v>19</v>
      </c>
      <c r="B89" s="12">
        <v>4.5</v>
      </c>
      <c r="C89" s="86" t="str">
        <f t="shared" si="32"/>
        <v>SlimFix-XT 8/8R 4,5</v>
      </c>
      <c r="D89" s="7">
        <v>8</v>
      </c>
      <c r="E89" s="10">
        <v>15.5</v>
      </c>
      <c r="F89" s="7" t="s">
        <v>127</v>
      </c>
      <c r="G89" s="7">
        <v>100</v>
      </c>
      <c r="H89" s="94">
        <f>CEILING(SlimFix!$D$32*SlimFix!$J$44/1020,1)</f>
        <v>0</v>
      </c>
      <c r="I89" s="94">
        <f>CEILING(SlimFix!$D$50*SlimFix!$J$57/1020,1)</f>
        <v>0</v>
      </c>
      <c r="J89" s="7">
        <f>((H89*SlimFix!$D$35)+(I89*SlimFix!$D$52))*3</f>
        <v>0</v>
      </c>
      <c r="K89" s="5" t="s">
        <v>127</v>
      </c>
      <c r="L89" s="5">
        <v>100</v>
      </c>
      <c r="M89" s="5">
        <v>6</v>
      </c>
      <c r="N89" s="5" t="e">
        <f>IF(calcu!$I$37&lt;=0,0,calcu!$I$37)</f>
        <v>#N/A</v>
      </c>
      <c r="O89" s="5" t="e">
        <f>IF(calcu!$T$37&lt;=0,0,calcu!$T$37)</f>
        <v>#N/A</v>
      </c>
      <c r="P89" s="5" t="e">
        <f t="shared" si="28"/>
        <v>#N/A</v>
      </c>
      <c r="R89" s="13" t="s">
        <v>127</v>
      </c>
      <c r="S89" s="7" t="e">
        <f t="shared" si="30"/>
        <v>#N/A</v>
      </c>
      <c r="T89" s="9"/>
      <c r="U89" s="10"/>
      <c r="V89" s="96" t="e">
        <f t="shared" si="29"/>
        <v>#N/A</v>
      </c>
      <c r="W89" s="4">
        <f>CEILING((H89*(SlimFix!$J$32/1000))+(I89*(SlimFix!$J$50/1000)),1)</f>
        <v>0</v>
      </c>
      <c r="X89" t="s">
        <v>191</v>
      </c>
      <c r="Y89" s="109">
        <v>3</v>
      </c>
      <c r="Z89" t="e">
        <f t="shared" si="31"/>
        <v>#N/A</v>
      </c>
    </row>
    <row r="90" spans="1:26" x14ac:dyDescent="0.25">
      <c r="A90" s="1" t="s">
        <v>19</v>
      </c>
      <c r="B90" s="12">
        <v>5</v>
      </c>
      <c r="C90" s="86" t="str">
        <f t="shared" si="32"/>
        <v>SlimFix-XT 8/8R 5</v>
      </c>
      <c r="D90" s="7">
        <v>8</v>
      </c>
      <c r="E90" s="10">
        <v>15.5</v>
      </c>
      <c r="F90" s="7" t="s">
        <v>127</v>
      </c>
      <c r="G90" s="7">
        <v>100</v>
      </c>
      <c r="H90" s="94">
        <f>CEILING(SlimFix!$D$32*SlimFix!$J$44/1020,1)</f>
        <v>0</v>
      </c>
      <c r="I90" s="94">
        <f>CEILING(SlimFix!$D$50*SlimFix!$J$57/1020,1)</f>
        <v>0</v>
      </c>
      <c r="J90" s="7">
        <f>((H90*SlimFix!$D$35)+(I90*SlimFix!$D$52))*3</f>
        <v>0</v>
      </c>
      <c r="K90" s="5" t="s">
        <v>127</v>
      </c>
      <c r="L90" s="5">
        <v>100</v>
      </c>
      <c r="M90" s="5">
        <v>6</v>
      </c>
      <c r="N90" s="5" t="e">
        <f>IF(calcu!$I$37&lt;=0,0,calcu!$I$37)</f>
        <v>#N/A</v>
      </c>
      <c r="O90" s="5" t="e">
        <f>IF(calcu!$T$37&lt;=0,0,calcu!$T$37)</f>
        <v>#N/A</v>
      </c>
      <c r="P90" s="5" t="e">
        <f t="shared" si="28"/>
        <v>#N/A</v>
      </c>
      <c r="R90" s="13" t="s">
        <v>127</v>
      </c>
      <c r="S90" s="7" t="e">
        <f t="shared" si="30"/>
        <v>#N/A</v>
      </c>
      <c r="T90" s="9"/>
      <c r="U90" s="10"/>
      <c r="V90" s="96" t="e">
        <f t="shared" si="29"/>
        <v>#N/A</v>
      </c>
      <c r="W90" s="4">
        <f>CEILING((H90*(SlimFix!$J$32/1000))+(I90*(SlimFix!$J$50/1000)),1)</f>
        <v>0</v>
      </c>
      <c r="X90" t="s">
        <v>191</v>
      </c>
      <c r="Y90" s="109">
        <v>3</v>
      </c>
      <c r="Z90" t="e">
        <f t="shared" si="31"/>
        <v>#N/A</v>
      </c>
    </row>
    <row r="91" spans="1:26" x14ac:dyDescent="0.25">
      <c r="A91" s="1" t="s">
        <v>19</v>
      </c>
      <c r="B91" s="12">
        <v>5.5</v>
      </c>
      <c r="C91" s="86" t="str">
        <f t="shared" si="32"/>
        <v>SlimFix-XT 8/8R 5,5</v>
      </c>
      <c r="D91" s="7">
        <v>8</v>
      </c>
      <c r="E91" s="10">
        <v>15.5</v>
      </c>
      <c r="F91" s="7" t="s">
        <v>128</v>
      </c>
      <c r="G91" s="7">
        <v>100</v>
      </c>
      <c r="H91" s="94">
        <f>CEILING(SlimFix!$D$32*SlimFix!$J$44/1020,1)</f>
        <v>0</v>
      </c>
      <c r="I91" s="94">
        <f>CEILING(SlimFix!$D$50*SlimFix!$J$57/1020,1)</f>
        <v>0</v>
      </c>
      <c r="J91" s="7">
        <f>((H91*SlimFix!$D$35)+(I91*SlimFix!$D$52))*3</f>
        <v>0</v>
      </c>
      <c r="K91" s="5" t="s">
        <v>128</v>
      </c>
      <c r="L91" s="5">
        <v>100</v>
      </c>
      <c r="M91" s="5">
        <v>6</v>
      </c>
      <c r="N91" s="5" t="e">
        <f>IF(calcu!$I$37&lt;=0,0,calcu!$I$37)</f>
        <v>#N/A</v>
      </c>
      <c r="O91" s="5" t="e">
        <f>IF(calcu!$T$37&lt;=0,0,calcu!$T$37)</f>
        <v>#N/A</v>
      </c>
      <c r="P91" s="5" t="e">
        <f t="shared" si="28"/>
        <v>#N/A</v>
      </c>
      <c r="R91" s="13" t="s">
        <v>128</v>
      </c>
      <c r="S91" s="7" t="e">
        <f t="shared" si="30"/>
        <v>#N/A</v>
      </c>
      <c r="T91" s="9"/>
      <c r="U91" s="10"/>
      <c r="V91" s="96" t="e">
        <f t="shared" si="29"/>
        <v>#N/A</v>
      </c>
      <c r="W91" s="4">
        <f>CEILING((H91*(SlimFix!$J$32/1000))+(I91*(SlimFix!$J$50/1000)),1)</f>
        <v>0</v>
      </c>
      <c r="X91" t="s">
        <v>191</v>
      </c>
      <c r="Y91" s="109">
        <v>3</v>
      </c>
      <c r="Z91" t="e">
        <f t="shared" si="31"/>
        <v>#N/A</v>
      </c>
    </row>
    <row r="92" spans="1:26" x14ac:dyDescent="0.25">
      <c r="A92" s="1" t="s">
        <v>19</v>
      </c>
      <c r="B92" s="12">
        <v>6</v>
      </c>
      <c r="C92" s="86" t="str">
        <f t="shared" si="32"/>
        <v>SlimFix-XT 8/8R 6</v>
      </c>
      <c r="D92" s="7">
        <v>8</v>
      </c>
      <c r="E92" s="10">
        <v>15.5</v>
      </c>
      <c r="F92" s="7" t="s">
        <v>129</v>
      </c>
      <c r="G92" s="7">
        <v>100</v>
      </c>
      <c r="H92" s="94">
        <f>CEILING(SlimFix!$D$32*SlimFix!$J$44/1020,1)</f>
        <v>0</v>
      </c>
      <c r="I92" s="94">
        <f>CEILING(SlimFix!$D$50*SlimFix!$J$57/1020,1)</f>
        <v>0</v>
      </c>
      <c r="J92" s="7">
        <f>((H92*SlimFix!$D$35)+(I92*SlimFix!$D$52))*3</f>
        <v>0</v>
      </c>
      <c r="K92" s="5" t="s">
        <v>129</v>
      </c>
      <c r="L92" s="5">
        <v>100</v>
      </c>
      <c r="M92" s="5">
        <v>6</v>
      </c>
      <c r="N92" s="5" t="e">
        <f>IF(calcu!$I$37&lt;=0,0,calcu!$I$37)</f>
        <v>#N/A</v>
      </c>
      <c r="O92" s="5" t="e">
        <f>IF(calcu!$T$37&lt;=0,0,calcu!$T$37)</f>
        <v>#N/A</v>
      </c>
      <c r="P92" s="5" t="e">
        <f t="shared" si="28"/>
        <v>#N/A</v>
      </c>
      <c r="R92" s="13" t="s">
        <v>129</v>
      </c>
      <c r="S92" s="7" t="e">
        <f t="shared" si="30"/>
        <v>#N/A</v>
      </c>
      <c r="T92" s="9"/>
      <c r="U92" s="10"/>
      <c r="V92" s="96" t="e">
        <f t="shared" si="29"/>
        <v>#N/A</v>
      </c>
      <c r="W92" s="4">
        <f>CEILING((H92*(SlimFix!$J$32/1000))+(I92*(SlimFix!$J$50/1000)),1)</f>
        <v>0</v>
      </c>
      <c r="X92" t="s">
        <v>191</v>
      </c>
      <c r="Y92" s="109">
        <v>3</v>
      </c>
      <c r="Z92" t="e">
        <f t="shared" si="31"/>
        <v>#N/A</v>
      </c>
    </row>
    <row r="93" spans="1:26" x14ac:dyDescent="0.25">
      <c r="A93" s="1" t="s">
        <v>19</v>
      </c>
      <c r="B93" s="12">
        <v>6.3</v>
      </c>
      <c r="C93" s="86" t="str">
        <f t="shared" si="32"/>
        <v>SlimFix-XT 8/8R 6,3</v>
      </c>
      <c r="D93" s="7">
        <v>8</v>
      </c>
      <c r="E93" s="10">
        <v>15.5</v>
      </c>
      <c r="F93" s="7" t="s">
        <v>129</v>
      </c>
      <c r="G93" s="7">
        <v>100</v>
      </c>
      <c r="H93" s="94">
        <f>CEILING(SlimFix!$D$32*SlimFix!$J$44/1020,1)</f>
        <v>0</v>
      </c>
      <c r="I93" s="94">
        <f>CEILING(SlimFix!$D$50*SlimFix!$J$57/1020,1)</f>
        <v>0</v>
      </c>
      <c r="J93" s="7">
        <f>((H93*SlimFix!$D$35)+(I93*SlimFix!$D$52))*3</f>
        <v>0</v>
      </c>
      <c r="K93" s="5" t="s">
        <v>129</v>
      </c>
      <c r="L93" s="5">
        <v>100</v>
      </c>
      <c r="M93" s="5">
        <v>6</v>
      </c>
      <c r="N93" s="5" t="e">
        <f>IF(calcu!$I$37&lt;=0,0,calcu!$I$37)</f>
        <v>#N/A</v>
      </c>
      <c r="O93" s="5" t="e">
        <f>IF(calcu!$T$37&lt;=0,0,calcu!$T$37)</f>
        <v>#N/A</v>
      </c>
      <c r="P93" s="5" t="e">
        <f t="shared" si="28"/>
        <v>#N/A</v>
      </c>
      <c r="R93" s="13" t="s">
        <v>129</v>
      </c>
      <c r="S93" s="7" t="e">
        <f t="shared" si="30"/>
        <v>#N/A</v>
      </c>
      <c r="T93" s="9"/>
      <c r="U93" s="10"/>
      <c r="V93" s="96" t="e">
        <f t="shared" si="29"/>
        <v>#N/A</v>
      </c>
      <c r="W93" s="4">
        <f>CEILING((H93*(SlimFix!$J$32/1000))+(I93*(SlimFix!$J$50/1000)),1)</f>
        <v>0</v>
      </c>
      <c r="X93" t="s">
        <v>191</v>
      </c>
      <c r="Y93" s="109">
        <v>3</v>
      </c>
      <c r="Z93" t="e">
        <f t="shared" si="31"/>
        <v>#N/A</v>
      </c>
    </row>
    <row r="94" spans="1:26" x14ac:dyDescent="0.25">
      <c r="A94" s="1" t="s">
        <v>19</v>
      </c>
      <c r="B94" s="12">
        <v>7</v>
      </c>
      <c r="C94" s="86" t="str">
        <f t="shared" si="32"/>
        <v>SlimFix-XT 8/8R 7</v>
      </c>
      <c r="D94" s="7">
        <v>8</v>
      </c>
      <c r="E94" s="10">
        <v>16.5</v>
      </c>
      <c r="F94" s="7" t="s">
        <v>130</v>
      </c>
      <c r="G94" s="7">
        <v>100</v>
      </c>
      <c r="H94" s="94">
        <f>CEILING(SlimFix!$D$32*SlimFix!$J$44/1020,1)</f>
        <v>0</v>
      </c>
      <c r="I94" s="94">
        <f>CEILING(SlimFix!$D$50*SlimFix!$J$57/1020,1)</f>
        <v>0</v>
      </c>
      <c r="J94" s="7">
        <f>((H94*SlimFix!$D$35)+(I94*SlimFix!$D$52))*3</f>
        <v>0</v>
      </c>
      <c r="K94" s="5" t="s">
        <v>130</v>
      </c>
      <c r="L94" s="5">
        <v>100</v>
      </c>
      <c r="M94" s="5">
        <v>6</v>
      </c>
      <c r="N94" s="5" t="e">
        <f>IF(calcu!$I$37&lt;=0,0,calcu!$I$37)</f>
        <v>#N/A</v>
      </c>
      <c r="O94" s="5" t="e">
        <f>IF(calcu!$T$37&lt;=0,0,calcu!$T$37)</f>
        <v>#N/A</v>
      </c>
      <c r="P94" s="5" t="e">
        <f t="shared" si="28"/>
        <v>#N/A</v>
      </c>
      <c r="R94" s="13" t="s">
        <v>130</v>
      </c>
      <c r="S94" s="7" t="e">
        <f t="shared" si="30"/>
        <v>#N/A</v>
      </c>
      <c r="T94" s="9"/>
      <c r="U94" s="10"/>
      <c r="V94" s="96" t="e">
        <f t="shared" si="29"/>
        <v>#N/A</v>
      </c>
      <c r="W94" s="4">
        <f>CEILING((H94*(SlimFix!$J$32/1000))+(I94*(SlimFix!$J$50/1000)),1)</f>
        <v>0</v>
      </c>
      <c r="X94" t="s">
        <v>191</v>
      </c>
      <c r="Y94" s="109">
        <v>3</v>
      </c>
      <c r="Z94" t="e">
        <f t="shared" si="31"/>
        <v>#N/A</v>
      </c>
    </row>
    <row r="95" spans="1:26" x14ac:dyDescent="0.25">
      <c r="A95" s="1" t="s">
        <v>20</v>
      </c>
      <c r="B95" s="12">
        <v>10</v>
      </c>
      <c r="C95" s="86" t="str">
        <f t="shared" si="32"/>
        <v>SlimFix-XT Passief 10</v>
      </c>
      <c r="D95" s="7">
        <v>8</v>
      </c>
      <c r="E95" s="10">
        <v>26</v>
      </c>
      <c r="F95" s="7" t="s">
        <v>143</v>
      </c>
      <c r="G95" s="7">
        <v>50</v>
      </c>
      <c r="H95" s="94">
        <f>CEILING(SlimFix!$D$32*SlimFix!$J$44/1020,1)</f>
        <v>0</v>
      </c>
      <c r="I95" s="94">
        <f>CEILING(SlimFix!$D$50*SlimFix!$J$57/1020,1)</f>
        <v>0</v>
      </c>
      <c r="J95" s="7">
        <f>((H95*SlimFix!$D$35)+(I95*SlimFix!$D$52))*2</f>
        <v>0</v>
      </c>
      <c r="K95" s="5" t="s">
        <v>143</v>
      </c>
      <c r="L95" s="5">
        <v>50</v>
      </c>
      <c r="M95" s="5">
        <v>8</v>
      </c>
      <c r="N95" s="5" t="e">
        <f>IF(calcu!$I$29&lt;=0,0,calcu!$I$29)</f>
        <v>#N/A</v>
      </c>
      <c r="O95" s="5" t="e">
        <f>IF(OR(I95=0,calcu!$T$29&lt;=0),0,calcu!$T$29)</f>
        <v>#N/A</v>
      </c>
      <c r="P95" s="5" t="e">
        <f t="shared" ref="P95:P100" si="40">(H95*N95)+(I95*O95)</f>
        <v>#N/A</v>
      </c>
      <c r="R95" s="9"/>
      <c r="S95" s="10"/>
      <c r="T95" s="6" t="str">
        <f>K95</f>
        <v>Schroef 400xØ8</v>
      </c>
      <c r="U95" s="5" t="e">
        <f>CEILING((P95+J95)/L95,1)</f>
        <v>#N/A</v>
      </c>
      <c r="V95" s="96" t="e">
        <f t="shared" ref="V95:V99" si="41">CEILING((P95+J95)/100,1)</f>
        <v>#N/A</v>
      </c>
      <c r="W95" s="4">
        <f>CEILING((H95*(SlimFix!$J$32/1000))+(I95*(SlimFix!$J$50/1000)),1)</f>
        <v>0</v>
      </c>
      <c r="X95" t="s">
        <v>192</v>
      </c>
      <c r="Y95" s="109">
        <v>2</v>
      </c>
      <c r="Z95" t="s">
        <v>195</v>
      </c>
    </row>
    <row r="96" spans="1:26" x14ac:dyDescent="0.25">
      <c r="A96" s="1" t="s">
        <v>20</v>
      </c>
      <c r="B96" s="12">
        <v>11</v>
      </c>
      <c r="C96" s="86" t="str">
        <f t="shared" si="32"/>
        <v>SlimFix-XT Passief 11</v>
      </c>
      <c r="D96" s="7">
        <v>8</v>
      </c>
      <c r="E96" s="10">
        <v>27</v>
      </c>
      <c r="F96" s="7" t="s">
        <v>144</v>
      </c>
      <c r="G96" s="7">
        <v>50</v>
      </c>
      <c r="H96" s="94">
        <f>CEILING(SlimFix!$D$32*SlimFix!$J$44/1020,1)</f>
        <v>0</v>
      </c>
      <c r="I96" s="94">
        <f>CEILING(SlimFix!$D$50*SlimFix!$J$57/1020,1)</f>
        <v>0</v>
      </c>
      <c r="J96" s="7">
        <f>((H96*SlimFix!$D$35)+(I96*SlimFix!$D$52))*2</f>
        <v>0</v>
      </c>
      <c r="K96" s="5" t="s">
        <v>144</v>
      </c>
      <c r="L96" s="5">
        <v>50</v>
      </c>
      <c r="M96" s="5">
        <v>8</v>
      </c>
      <c r="N96" s="5" t="e">
        <f>IF(calcu!$I$29&lt;=0,0,calcu!$I$29)</f>
        <v>#N/A</v>
      </c>
      <c r="O96" s="5" t="e">
        <f>IF(OR(I96=0,calcu!$T$29&lt;=0),0,calcu!$T$29)</f>
        <v>#N/A</v>
      </c>
      <c r="P96" s="5" t="e">
        <f t="shared" si="40"/>
        <v>#N/A</v>
      </c>
      <c r="R96" s="9"/>
      <c r="S96" s="10"/>
      <c r="T96" s="6" t="str">
        <f>K96</f>
        <v>Schroef 420xØ8</v>
      </c>
      <c r="U96" s="5" t="e">
        <f>CEILING((P96+J96)/L96,1)</f>
        <v>#N/A</v>
      </c>
      <c r="V96" s="96" t="e">
        <f t="shared" si="41"/>
        <v>#N/A</v>
      </c>
      <c r="W96" s="4">
        <f>CEILING((H96*(SlimFix!$J$32/1000))+(I96*(SlimFix!$J$50/1000)),1)</f>
        <v>0</v>
      </c>
      <c r="X96" t="s">
        <v>192</v>
      </c>
      <c r="Y96" s="120">
        <v>2</v>
      </c>
      <c r="Z96" t="s">
        <v>195</v>
      </c>
    </row>
    <row r="97" spans="1:26" x14ac:dyDescent="0.25">
      <c r="A97" s="1" t="s">
        <v>20</v>
      </c>
      <c r="B97" s="12">
        <v>12</v>
      </c>
      <c r="C97" s="86" t="str">
        <f t="shared" si="32"/>
        <v>SlimFix-XT Passief 12</v>
      </c>
      <c r="D97" s="7">
        <v>8</v>
      </c>
      <c r="E97" s="10">
        <v>28.5</v>
      </c>
      <c r="F97" s="7" t="s">
        <v>145</v>
      </c>
      <c r="G97" s="7">
        <v>25</v>
      </c>
      <c r="H97" s="94">
        <f>CEILING(SlimFix!$D$32*SlimFix!$J$44/1020,1)</f>
        <v>0</v>
      </c>
      <c r="I97" s="94">
        <f>CEILING(SlimFix!$D$50*SlimFix!$J$57/1020,1)</f>
        <v>0</v>
      </c>
      <c r="J97" s="7">
        <f>((H97*SlimFix!$D$35)+(I97*SlimFix!$D$52))*2</f>
        <v>0</v>
      </c>
      <c r="K97" s="5" t="s">
        <v>145</v>
      </c>
      <c r="L97" s="5">
        <v>25</v>
      </c>
      <c r="M97" s="5">
        <v>8</v>
      </c>
      <c r="N97" s="5" t="e">
        <f>IF(calcu!$I$29&lt;=0,0,calcu!$I$29)</f>
        <v>#N/A</v>
      </c>
      <c r="O97" s="5" t="e">
        <f>IF(OR(I97=0,calcu!$T$29&lt;=0),0,calcu!$T$29)</f>
        <v>#N/A</v>
      </c>
      <c r="P97" s="5" t="e">
        <f t="shared" si="40"/>
        <v>#N/A</v>
      </c>
      <c r="R97" s="9"/>
      <c r="S97" s="10"/>
      <c r="T97" s="6" t="str">
        <f>K97</f>
        <v>Schroef 460xØ8</v>
      </c>
      <c r="U97" s="5" t="e">
        <f>CEILING((P97+J97)/L97,1)</f>
        <v>#N/A</v>
      </c>
      <c r="V97" s="96" t="e">
        <f t="shared" si="41"/>
        <v>#N/A</v>
      </c>
      <c r="W97" s="4">
        <f>CEILING((H97*(SlimFix!$J$32/1000))+(I97*(SlimFix!$J$50/1000)),1)</f>
        <v>0</v>
      </c>
      <c r="X97" t="s">
        <v>192</v>
      </c>
      <c r="Y97" s="120">
        <v>2</v>
      </c>
      <c r="Z97" t="s">
        <v>195</v>
      </c>
    </row>
    <row r="98" spans="1:26" x14ac:dyDescent="0.25">
      <c r="A98" s="1" t="s">
        <v>20</v>
      </c>
      <c r="B98" s="12">
        <v>8</v>
      </c>
      <c r="C98" s="86" t="str">
        <f t="shared" si="32"/>
        <v>SlimFix-XT Passief 8</v>
      </c>
      <c r="D98" s="7">
        <v>8</v>
      </c>
      <c r="E98" s="10">
        <v>29</v>
      </c>
      <c r="F98" s="7" t="s">
        <v>146</v>
      </c>
      <c r="G98" s="7">
        <v>50</v>
      </c>
      <c r="H98" s="94">
        <f>CEILING(SlimFix!$D$32*SlimFix!$J$44/1020,1)</f>
        <v>0</v>
      </c>
      <c r="I98" s="94">
        <f>CEILING(SlimFix!$D$50*SlimFix!$J$57/1020,1)</f>
        <v>0</v>
      </c>
      <c r="J98" s="7">
        <f>((H98*SlimFix!$D$35)+(I98*SlimFix!$D$52))*2</f>
        <v>0</v>
      </c>
      <c r="K98" s="5" t="s">
        <v>146</v>
      </c>
      <c r="L98" s="5">
        <v>50</v>
      </c>
      <c r="M98" s="5">
        <v>8</v>
      </c>
      <c r="N98" s="5" t="e">
        <f>IF(calcu!$I$29&lt;=0,0,calcu!$I$29)</f>
        <v>#N/A</v>
      </c>
      <c r="O98" s="5" t="e">
        <f>IF(OR(I98=0,calcu!$T$29&lt;=0),0,calcu!$T$29)</f>
        <v>#N/A</v>
      </c>
      <c r="P98" s="5" t="e">
        <f t="shared" si="40"/>
        <v>#N/A</v>
      </c>
      <c r="R98" s="9"/>
      <c r="S98" s="10"/>
      <c r="T98" s="6" t="str">
        <f>K98</f>
        <v>Schroef 340xØ8</v>
      </c>
      <c r="U98" s="5" t="e">
        <f>CEILING((P98+J98)/L98,1)</f>
        <v>#N/A</v>
      </c>
      <c r="V98" s="96" t="e">
        <f t="shared" si="41"/>
        <v>#N/A</v>
      </c>
      <c r="W98" s="4">
        <f>CEILING((H98*(SlimFix!$J$32/1000))+(I98*(SlimFix!$J$50/1000)),1)</f>
        <v>0</v>
      </c>
      <c r="X98" t="s">
        <v>192</v>
      </c>
      <c r="Y98" s="120">
        <v>2</v>
      </c>
      <c r="Z98" t="s">
        <v>195</v>
      </c>
    </row>
    <row r="99" spans="1:26" x14ac:dyDescent="0.25">
      <c r="A99" s="1" t="s">
        <v>20</v>
      </c>
      <c r="B99" s="12">
        <v>9</v>
      </c>
      <c r="C99" s="86" t="str">
        <f t="shared" si="32"/>
        <v>SlimFix-XT Passief 9</v>
      </c>
      <c r="D99" s="7">
        <v>8</v>
      </c>
      <c r="E99" s="10">
        <v>29.5</v>
      </c>
      <c r="F99" s="7" t="s">
        <v>147</v>
      </c>
      <c r="G99" s="7">
        <v>50</v>
      </c>
      <c r="H99" s="94">
        <f>CEILING(SlimFix!$D$32*SlimFix!$J$44/1020,1)</f>
        <v>0</v>
      </c>
      <c r="I99" s="94">
        <f>CEILING(SlimFix!$D$50*SlimFix!$J$57/1020,1)</f>
        <v>0</v>
      </c>
      <c r="J99" s="7">
        <f>((H99*SlimFix!$D$35)+(I99*SlimFix!$D$52))*2</f>
        <v>0</v>
      </c>
      <c r="K99" s="5" t="s">
        <v>147</v>
      </c>
      <c r="L99" s="5">
        <v>50</v>
      </c>
      <c r="M99" s="5">
        <v>8</v>
      </c>
      <c r="N99" s="5" t="e">
        <f>IF(calcu!$I$29&lt;=0,0,calcu!$I$29)</f>
        <v>#N/A</v>
      </c>
      <c r="O99" s="5" t="e">
        <f>IF(OR(I99=0,calcu!$T$29&lt;=0),0,calcu!$T$29)</f>
        <v>#N/A</v>
      </c>
      <c r="P99" s="5" t="e">
        <f t="shared" si="40"/>
        <v>#N/A</v>
      </c>
      <c r="R99" s="9"/>
      <c r="S99" s="10"/>
      <c r="T99" s="6" t="str">
        <f>K99</f>
        <v>Schroef 360xØ8</v>
      </c>
      <c r="U99" s="5" t="e">
        <f>CEILING((P99+J99)/L99,1)</f>
        <v>#N/A</v>
      </c>
      <c r="V99" s="96" t="e">
        <f t="shared" si="41"/>
        <v>#N/A</v>
      </c>
      <c r="W99" s="4">
        <f>CEILING((H99*(SlimFix!$J$32/1000))+(I99*(SlimFix!$J$50/1000)),1)</f>
        <v>0</v>
      </c>
      <c r="X99" t="s">
        <v>192</v>
      </c>
      <c r="Y99" s="120">
        <v>2</v>
      </c>
      <c r="Z99" t="s">
        <v>195</v>
      </c>
    </row>
    <row r="100" spans="1:26" x14ac:dyDescent="0.25">
      <c r="A100" s="1" t="s">
        <v>38</v>
      </c>
      <c r="B100" s="12" t="s">
        <v>30</v>
      </c>
      <c r="C100" s="86" t="str">
        <f t="shared" si="32"/>
        <v>SlimFix-XT Riet 2.5+4.0</v>
      </c>
      <c r="D100" s="7">
        <v>3</v>
      </c>
      <c r="E100" s="10">
        <v>13</v>
      </c>
      <c r="F100" s="7" t="s">
        <v>134</v>
      </c>
      <c r="G100" s="7">
        <v>100</v>
      </c>
      <c r="H100" s="94">
        <f>CEILING(SlimFix!$D$32*SlimFix!$J$44/1020,1)</f>
        <v>0</v>
      </c>
      <c r="I100" s="94">
        <f>CEILING(SlimFix!$D$50*SlimFix!$J$57/1020,1)</f>
        <v>0</v>
      </c>
      <c r="J100" s="7">
        <f>((H100*(SlimFix!$D$35-1))+(I100*(SlimFix!$D$52-1)))*4</f>
        <v>0</v>
      </c>
      <c r="K100" s="5" t="s">
        <v>134</v>
      </c>
      <c r="L100" s="5">
        <v>100</v>
      </c>
      <c r="M100" s="5">
        <v>6</v>
      </c>
      <c r="N100" s="5" t="e">
        <f>IF(calcu!$I$26&lt;=0,0,calcu!$I$26)</f>
        <v>#N/A</v>
      </c>
      <c r="O100" s="5" t="e">
        <f>IF(OR(I100=0,calcu!$T$26&lt;=0),0,calcu!$T$26)</f>
        <v>#N/A</v>
      </c>
      <c r="P100" s="5" t="e">
        <f t="shared" si="40"/>
        <v>#N/A</v>
      </c>
      <c r="R100" s="13" t="str">
        <f t="shared" ref="R100:R106" si="42">F100</f>
        <v>Schroef 140xØ6</v>
      </c>
      <c r="S100" s="7" t="e">
        <f t="shared" ref="S100:S106" si="43">CEILING((J100+P100)/G100,1)</f>
        <v>#N/A</v>
      </c>
      <c r="T100" s="9"/>
      <c r="U100" s="10"/>
      <c r="V100" s="96" t="e">
        <f t="shared" ref="V100:V106" si="44">CEILING((J100+P100)/100,1)</f>
        <v>#N/A</v>
      </c>
      <c r="W100" s="4">
        <f>CEILING((H100*(SlimFix!$J$32/1000))+(I100*(SlimFix!$J$50/1000)),1)</f>
        <v>0</v>
      </c>
      <c r="X100" t="s">
        <v>193</v>
      </c>
      <c r="Y100" s="120">
        <v>4</v>
      </c>
      <c r="Z100" t="s">
        <v>194</v>
      </c>
    </row>
    <row r="101" spans="1:26" x14ac:dyDescent="0.25">
      <c r="A101" s="1" t="s">
        <v>38</v>
      </c>
      <c r="B101" s="12" t="s">
        <v>31</v>
      </c>
      <c r="C101" s="86" t="str">
        <f t="shared" si="32"/>
        <v>SlimFix-XT Riet 3.0+4.0</v>
      </c>
      <c r="D101" s="7">
        <v>3</v>
      </c>
      <c r="E101" s="10">
        <v>13.5</v>
      </c>
      <c r="F101" s="7" t="s">
        <v>123</v>
      </c>
      <c r="G101" s="7">
        <v>100</v>
      </c>
      <c r="H101" s="94">
        <f>CEILING(SlimFix!$D$32*SlimFix!$J$44/1020,1)</f>
        <v>0</v>
      </c>
      <c r="I101" s="94">
        <f>CEILING(SlimFix!$D$50*SlimFix!$J$57/1020,1)</f>
        <v>0</v>
      </c>
      <c r="J101" s="7">
        <f>((H101*(SlimFix!$D$35-1))+(I101*(SlimFix!$D$52-1)))*4</f>
        <v>0</v>
      </c>
      <c r="K101" s="5" t="s">
        <v>123</v>
      </c>
      <c r="L101" s="5">
        <v>100</v>
      </c>
      <c r="M101" s="5">
        <v>6</v>
      </c>
      <c r="N101" s="5" t="e">
        <f>IF(calcu!$I$26&lt;=0,0,calcu!$I$26)</f>
        <v>#N/A</v>
      </c>
      <c r="O101" s="5" t="e">
        <f>IF(OR(I101=0,calcu!$T$26&lt;=0),0,calcu!$T$26)</f>
        <v>#N/A</v>
      </c>
      <c r="P101" s="5" t="e">
        <f t="shared" ref="P101:P106" si="45">(H101*N101)+(I101*O101)</f>
        <v>#N/A</v>
      </c>
      <c r="R101" s="13" t="str">
        <f t="shared" si="42"/>
        <v>Schroef 160xØ6</v>
      </c>
      <c r="S101" s="7" t="e">
        <f t="shared" si="43"/>
        <v>#N/A</v>
      </c>
      <c r="T101" s="9"/>
      <c r="U101" s="10"/>
      <c r="V101" s="96" t="e">
        <f t="shared" si="44"/>
        <v>#N/A</v>
      </c>
      <c r="W101" s="4">
        <f>CEILING((H101*(SlimFix!$J$32/1000))+(I101*(SlimFix!$J$50/1000)),1)</f>
        <v>0</v>
      </c>
      <c r="X101" t="s">
        <v>193</v>
      </c>
      <c r="Y101" s="120">
        <v>4</v>
      </c>
      <c r="Z101" t="s">
        <v>194</v>
      </c>
    </row>
    <row r="102" spans="1:26" x14ac:dyDescent="0.25">
      <c r="A102" s="1" t="s">
        <v>38</v>
      </c>
      <c r="B102" s="12" t="s">
        <v>32</v>
      </c>
      <c r="C102" s="86" t="str">
        <f t="shared" si="32"/>
        <v>SlimFix-XT Riet 3.5+4.0</v>
      </c>
      <c r="D102" s="7">
        <v>3</v>
      </c>
      <c r="E102" s="10">
        <v>14</v>
      </c>
      <c r="F102" s="7" t="s">
        <v>124</v>
      </c>
      <c r="G102" s="7">
        <v>100</v>
      </c>
      <c r="H102" s="94">
        <f>CEILING(SlimFix!$D$32*SlimFix!$J$44/1020,1)</f>
        <v>0</v>
      </c>
      <c r="I102" s="94">
        <f>CEILING(SlimFix!$D$50*SlimFix!$J$57/1020,1)</f>
        <v>0</v>
      </c>
      <c r="J102" s="7">
        <f>((H102*(SlimFix!$D$35-1))+(I102*(SlimFix!$D$52-1)))*4</f>
        <v>0</v>
      </c>
      <c r="K102" s="5" t="s">
        <v>124</v>
      </c>
      <c r="L102" s="5">
        <v>100</v>
      </c>
      <c r="M102" s="5">
        <v>6</v>
      </c>
      <c r="N102" s="5" t="e">
        <f>IF(calcu!$I$26&lt;=0,0,calcu!$I$26)</f>
        <v>#N/A</v>
      </c>
      <c r="O102" s="5" t="e">
        <f>IF(OR(I102=0,calcu!$T$26&lt;=0),0,calcu!$T$26)</f>
        <v>#N/A</v>
      </c>
      <c r="P102" s="5" t="e">
        <f t="shared" si="45"/>
        <v>#N/A</v>
      </c>
      <c r="R102" s="13" t="str">
        <f t="shared" si="42"/>
        <v>Schroef 180xØ6</v>
      </c>
      <c r="S102" s="7" t="e">
        <f t="shared" si="43"/>
        <v>#N/A</v>
      </c>
      <c r="T102" s="9"/>
      <c r="U102" s="10"/>
      <c r="V102" s="96" t="e">
        <f t="shared" si="44"/>
        <v>#N/A</v>
      </c>
      <c r="W102" s="4">
        <f>CEILING((H102*(SlimFix!$J$32/1000))+(I102*(SlimFix!$J$50/1000)),1)</f>
        <v>0</v>
      </c>
      <c r="X102" t="s">
        <v>193</v>
      </c>
      <c r="Y102" s="120">
        <v>4</v>
      </c>
      <c r="Z102" t="s">
        <v>194</v>
      </c>
    </row>
    <row r="103" spans="1:26" x14ac:dyDescent="0.25">
      <c r="A103" s="1" t="s">
        <v>38</v>
      </c>
      <c r="B103" s="12" t="s">
        <v>33</v>
      </c>
      <c r="C103" s="86" t="str">
        <f t="shared" si="32"/>
        <v>SlimFix-XT Riet 4.0+4.0</v>
      </c>
      <c r="D103" s="7">
        <v>3</v>
      </c>
      <c r="E103" s="10">
        <v>15</v>
      </c>
      <c r="F103" s="7" t="s">
        <v>125</v>
      </c>
      <c r="G103" s="7">
        <v>100</v>
      </c>
      <c r="H103" s="94">
        <f>CEILING(SlimFix!$D$32*SlimFix!$J$44/1020,1)</f>
        <v>0</v>
      </c>
      <c r="I103" s="94">
        <f>CEILING(SlimFix!$D$50*SlimFix!$J$57/1020,1)</f>
        <v>0</v>
      </c>
      <c r="J103" s="7">
        <f>((H103*(SlimFix!$D$35-1))+(I103*(SlimFix!$D$52-1)))*4</f>
        <v>0</v>
      </c>
      <c r="K103" s="5" t="s">
        <v>125</v>
      </c>
      <c r="L103" s="5">
        <v>100</v>
      </c>
      <c r="M103" s="5">
        <v>6</v>
      </c>
      <c r="N103" s="5" t="e">
        <f>IF(calcu!$I$26&lt;=0,0,calcu!$I$26)</f>
        <v>#N/A</v>
      </c>
      <c r="O103" s="5" t="e">
        <f>IF(OR(I103=0,calcu!$T$26&lt;=0),0,calcu!$T$26)</f>
        <v>#N/A</v>
      </c>
      <c r="P103" s="5" t="e">
        <f t="shared" si="45"/>
        <v>#N/A</v>
      </c>
      <c r="R103" s="13" t="str">
        <f t="shared" si="42"/>
        <v>Schroef 200xØ6</v>
      </c>
      <c r="S103" s="7" t="e">
        <f t="shared" si="43"/>
        <v>#N/A</v>
      </c>
      <c r="T103" s="9"/>
      <c r="U103" s="10"/>
      <c r="V103" s="96" t="e">
        <f t="shared" si="44"/>
        <v>#N/A</v>
      </c>
      <c r="W103" s="4">
        <f>CEILING((H103*(SlimFix!$J$32/1000))+(I103*(SlimFix!$J$50/1000)),1)</f>
        <v>0</v>
      </c>
      <c r="X103" t="s">
        <v>193</v>
      </c>
      <c r="Y103" s="120">
        <v>4</v>
      </c>
      <c r="Z103" t="s">
        <v>194</v>
      </c>
    </row>
    <row r="104" spans="1:26" x14ac:dyDescent="0.25">
      <c r="A104" s="1" t="s">
        <v>38</v>
      </c>
      <c r="B104" s="12" t="s">
        <v>34</v>
      </c>
      <c r="C104" s="86" t="str">
        <f t="shared" si="32"/>
        <v>SlimFix-XT Riet 4.5+4.0</v>
      </c>
      <c r="D104" s="7">
        <v>3</v>
      </c>
      <c r="E104" s="10">
        <v>15</v>
      </c>
      <c r="F104" s="7" t="s">
        <v>126</v>
      </c>
      <c r="G104" s="7">
        <v>100</v>
      </c>
      <c r="H104" s="94">
        <f>CEILING(SlimFix!$D$32*SlimFix!$J$44/1020,1)</f>
        <v>0</v>
      </c>
      <c r="I104" s="94">
        <f>CEILING(SlimFix!$D$50*SlimFix!$J$57/1020,1)</f>
        <v>0</v>
      </c>
      <c r="J104" s="7">
        <f>((H104*(SlimFix!$D$35-1))+(I104*(SlimFix!$D$52-1)))*4</f>
        <v>0</v>
      </c>
      <c r="K104" s="5" t="s">
        <v>126</v>
      </c>
      <c r="L104" s="5">
        <v>100</v>
      </c>
      <c r="M104" s="5">
        <v>6</v>
      </c>
      <c r="N104" s="5" t="e">
        <f>IF(calcu!$I$26&lt;=0,0,calcu!$I$26)</f>
        <v>#N/A</v>
      </c>
      <c r="O104" s="5" t="e">
        <f>IF(OR(I104=0,calcu!$T$26&lt;=0),0,calcu!$T$26)</f>
        <v>#N/A</v>
      </c>
      <c r="P104" s="5" t="e">
        <f t="shared" si="45"/>
        <v>#N/A</v>
      </c>
      <c r="R104" s="13" t="str">
        <f t="shared" si="42"/>
        <v>Schroef 220xØ6</v>
      </c>
      <c r="S104" s="7" t="e">
        <f t="shared" si="43"/>
        <v>#N/A</v>
      </c>
      <c r="T104" s="9"/>
      <c r="U104" s="10"/>
      <c r="V104" s="96" t="e">
        <f t="shared" si="44"/>
        <v>#N/A</v>
      </c>
      <c r="W104" s="4">
        <f>CEILING((H104*(SlimFix!$J$32/1000))+(I104*(SlimFix!$J$50/1000)),1)</f>
        <v>0</v>
      </c>
      <c r="X104" t="s">
        <v>193</v>
      </c>
      <c r="Y104" s="120">
        <v>4</v>
      </c>
      <c r="Z104" t="s">
        <v>194</v>
      </c>
    </row>
    <row r="105" spans="1:26" x14ac:dyDescent="0.25">
      <c r="A105" s="1" t="s">
        <v>38</v>
      </c>
      <c r="B105" s="12" t="s">
        <v>35</v>
      </c>
      <c r="C105" s="86" t="str">
        <f t="shared" si="32"/>
        <v>SlimFix-XT Riet 5.5+4.0</v>
      </c>
      <c r="D105" s="7">
        <v>3</v>
      </c>
      <c r="E105" s="10">
        <v>17</v>
      </c>
      <c r="F105" s="7" t="s">
        <v>128</v>
      </c>
      <c r="G105" s="7">
        <v>100</v>
      </c>
      <c r="H105" s="94">
        <f>CEILING(SlimFix!$D$32*SlimFix!$J$44/1020,1)</f>
        <v>0</v>
      </c>
      <c r="I105" s="94">
        <f>CEILING(SlimFix!$D$50*SlimFix!$J$57/1020,1)</f>
        <v>0</v>
      </c>
      <c r="J105" s="7">
        <f>((H105*(SlimFix!$D$35-1))+(I105*(SlimFix!$D$52-1)))*4</f>
        <v>0</v>
      </c>
      <c r="K105" s="5" t="s">
        <v>128</v>
      </c>
      <c r="L105" s="5">
        <v>100</v>
      </c>
      <c r="M105" s="5">
        <v>6</v>
      </c>
      <c r="N105" s="5" t="e">
        <f>IF(calcu!$I$26&lt;=0,0,calcu!$I$26)</f>
        <v>#N/A</v>
      </c>
      <c r="O105" s="5" t="e">
        <f>IF(OR(I105=0,calcu!$T$26&lt;=0),0,calcu!$T$26)</f>
        <v>#N/A</v>
      </c>
      <c r="P105" s="5" t="e">
        <f t="shared" si="45"/>
        <v>#N/A</v>
      </c>
      <c r="R105" s="13" t="str">
        <f t="shared" si="42"/>
        <v>Schroef 260xØ6</v>
      </c>
      <c r="S105" s="7" t="e">
        <f t="shared" si="43"/>
        <v>#N/A</v>
      </c>
      <c r="T105" s="9"/>
      <c r="U105" s="10"/>
      <c r="V105" s="96" t="e">
        <f t="shared" si="44"/>
        <v>#N/A</v>
      </c>
      <c r="W105" s="4">
        <f>CEILING((H105*(SlimFix!$J$32/1000))+(I105*(SlimFix!$J$50/1000)),1)</f>
        <v>0</v>
      </c>
      <c r="X105" t="s">
        <v>193</v>
      </c>
      <c r="Y105" s="120">
        <v>4</v>
      </c>
      <c r="Z105" t="s">
        <v>194</v>
      </c>
    </row>
    <row r="106" spans="1:26" x14ac:dyDescent="0.25">
      <c r="A106" s="1" t="s">
        <v>38</v>
      </c>
      <c r="B106" s="12" t="s">
        <v>36</v>
      </c>
      <c r="C106" s="86" t="str">
        <f t="shared" si="32"/>
        <v>SlimFix-XT Riet 6.3+4.0</v>
      </c>
      <c r="D106" s="7">
        <v>3</v>
      </c>
      <c r="E106" s="10">
        <v>17.5</v>
      </c>
      <c r="F106" s="7" t="s">
        <v>129</v>
      </c>
      <c r="G106" s="7">
        <v>100</v>
      </c>
      <c r="H106" s="94">
        <f>CEILING(SlimFix!$D$32*SlimFix!$J$44/1020,1)</f>
        <v>0</v>
      </c>
      <c r="I106" s="94">
        <f>CEILING(SlimFix!$D$50*SlimFix!$J$57/1020,1)</f>
        <v>0</v>
      </c>
      <c r="J106" s="7">
        <f>((H106*(SlimFix!$D$35-1))+(I106*(SlimFix!$D$52-1)))*4</f>
        <v>0</v>
      </c>
      <c r="K106" s="5" t="s">
        <v>129</v>
      </c>
      <c r="L106" s="5">
        <v>100</v>
      </c>
      <c r="M106" s="5">
        <v>6</v>
      </c>
      <c r="N106" s="5" t="e">
        <f>IF(calcu!$I$26&lt;=0,0,calcu!$I$26)</f>
        <v>#N/A</v>
      </c>
      <c r="O106" s="5" t="e">
        <f>IF(OR(I106=0,calcu!$T$26&lt;=0),0,calcu!$T$26)</f>
        <v>#N/A</v>
      </c>
      <c r="P106" s="5" t="e">
        <f t="shared" si="45"/>
        <v>#N/A</v>
      </c>
      <c r="R106" s="13" t="str">
        <f t="shared" si="42"/>
        <v>Schroef 280xØ6</v>
      </c>
      <c r="S106" s="7" t="e">
        <f t="shared" si="43"/>
        <v>#N/A</v>
      </c>
      <c r="T106" s="9"/>
      <c r="U106" s="10"/>
      <c r="V106" s="96" t="e">
        <f t="shared" si="44"/>
        <v>#N/A</v>
      </c>
      <c r="W106" s="4">
        <f>CEILING((H106*(SlimFix!$J$32/1000))+(I106*(SlimFix!$J$50/1000)),1)</f>
        <v>0</v>
      </c>
      <c r="X106" t="s">
        <v>193</v>
      </c>
      <c r="Y106" s="120">
        <v>4</v>
      </c>
      <c r="Z106" t="s">
        <v>194</v>
      </c>
    </row>
    <row r="107" spans="1:26" x14ac:dyDescent="0.25">
      <c r="A107" s="129" t="s">
        <v>184</v>
      </c>
    </row>
    <row r="110" spans="1:26" x14ac:dyDescent="0.25">
      <c r="A110" s="1" t="s">
        <v>119</v>
      </c>
    </row>
    <row r="111" spans="1:26" x14ac:dyDescent="0.25">
      <c r="A111" s="1" t="s">
        <v>5</v>
      </c>
    </row>
    <row r="112" spans="1:26" x14ac:dyDescent="0.25">
      <c r="A112" s="1" t="s">
        <v>10</v>
      </c>
      <c r="T112">
        <v>2</v>
      </c>
      <c r="U112">
        <v>3</v>
      </c>
    </row>
    <row r="113" spans="1:1" x14ac:dyDescent="0.25">
      <c r="A113" s="1" t="s">
        <v>11</v>
      </c>
    </row>
    <row r="114" spans="1:1" x14ac:dyDescent="0.25">
      <c r="A114" s="1" t="s">
        <v>12</v>
      </c>
    </row>
    <row r="115" spans="1:1" x14ac:dyDescent="0.25">
      <c r="A115" s="1" t="s">
        <v>18</v>
      </c>
    </row>
    <row r="116" spans="1:1" x14ac:dyDescent="0.25">
      <c r="A116" s="1" t="s">
        <v>182</v>
      </c>
    </row>
    <row r="117" spans="1:1" x14ac:dyDescent="0.25">
      <c r="A117" s="1" t="s">
        <v>19</v>
      </c>
    </row>
    <row r="118" spans="1:1" x14ac:dyDescent="0.25">
      <c r="A118" s="1" t="s">
        <v>183</v>
      </c>
    </row>
    <row r="119" spans="1:1" x14ac:dyDescent="0.25">
      <c r="A119" s="1" t="s">
        <v>20</v>
      </c>
    </row>
    <row r="120" spans="1:1" x14ac:dyDescent="0.25">
      <c r="A120" s="1" t="s">
        <v>37</v>
      </c>
    </row>
    <row r="121" spans="1:1" x14ac:dyDescent="0.25">
      <c r="A121" s="1" t="s">
        <v>38</v>
      </c>
    </row>
    <row r="124" spans="1:1" x14ac:dyDescent="0.25">
      <c r="A124">
        <v>2</v>
      </c>
    </row>
    <row r="125" spans="1:1" x14ac:dyDescent="0.25">
      <c r="A125">
        <v>3</v>
      </c>
    </row>
    <row r="126" spans="1:1" x14ac:dyDescent="0.25">
      <c r="A126">
        <v>4</v>
      </c>
    </row>
    <row r="131" spans="1:1" x14ac:dyDescent="0.25">
      <c r="A131" t="s">
        <v>306</v>
      </c>
    </row>
    <row r="132" spans="1:1" x14ac:dyDescent="0.25">
      <c r="A132" t="s">
        <v>307</v>
      </c>
    </row>
  </sheetData>
  <autoFilter ref="A4:M106" xr:uid="{245D2659-97E9-4623-93FD-B4914668C616}"/>
  <sortState xmlns:xlrd2="http://schemas.microsoft.com/office/spreadsheetml/2017/richdata2" ref="A5:F106">
    <sortCondition ref="C5:C106"/>
  </sortState>
  <mergeCells count="7">
    <mergeCell ref="A1:E3"/>
    <mergeCell ref="T3:U3"/>
    <mergeCell ref="R3:S3"/>
    <mergeCell ref="K3:M3"/>
    <mergeCell ref="F2:J2"/>
    <mergeCell ref="K2:P2"/>
    <mergeCell ref="R1:V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F3457-70D0-4914-B7FF-50DA08E7D2C9}">
  <dimension ref="A1:M19"/>
  <sheetViews>
    <sheetView workbookViewId="0">
      <pane xSplit="2" ySplit="4" topLeftCell="C5" activePane="bottomRight" state="frozen"/>
      <selection activeCell="C10" sqref="C10:D10"/>
      <selection pane="topRight" activeCell="C10" sqref="C10:D10"/>
      <selection pane="bottomLeft" activeCell="C10" sqref="C10:D10"/>
      <selection pane="bottomRight" activeCell="C10" sqref="C10:D10"/>
    </sheetView>
  </sheetViews>
  <sheetFormatPr defaultRowHeight="15" x14ac:dyDescent="0.25"/>
  <cols>
    <col min="1" max="1" width="17.28515625" bestFit="1" customWidth="1"/>
    <col min="2" max="2" width="10.5703125" bestFit="1" customWidth="1"/>
    <col min="3" max="3" width="16.5703125" bestFit="1" customWidth="1"/>
    <col min="4" max="4" width="17.85546875" bestFit="1" customWidth="1"/>
    <col min="5" max="5" width="6.42578125" bestFit="1" customWidth="1"/>
    <col min="6" max="9" width="12.5703125" customWidth="1"/>
    <col min="10" max="10" width="39.28515625" bestFit="1" customWidth="1"/>
    <col min="11" max="11" width="35.85546875" bestFit="1" customWidth="1"/>
    <col min="12" max="12" width="3.42578125" customWidth="1"/>
    <col min="13" max="13" width="16.5703125" bestFit="1" customWidth="1"/>
  </cols>
  <sheetData>
    <row r="1" spans="1:13" x14ac:dyDescent="0.25">
      <c r="A1" s="215" t="s">
        <v>6</v>
      </c>
      <c r="B1" s="216"/>
      <c r="C1" s="216"/>
      <c r="D1" s="221" t="s">
        <v>17</v>
      </c>
      <c r="E1" s="222"/>
      <c r="F1" s="222"/>
      <c r="G1" s="142"/>
      <c r="H1" s="142"/>
      <c r="I1" s="142"/>
    </row>
    <row r="2" spans="1:13" x14ac:dyDescent="0.25">
      <c r="A2" s="217"/>
      <c r="B2" s="218"/>
      <c r="C2" s="218"/>
      <c r="D2" s="221"/>
      <c r="E2" s="222"/>
      <c r="F2" s="222"/>
      <c r="G2" s="142"/>
      <c r="H2" s="142"/>
      <c r="I2" s="142"/>
    </row>
    <row r="3" spans="1:13" x14ac:dyDescent="0.25">
      <c r="A3" s="219"/>
      <c r="B3" s="220"/>
      <c r="C3" s="220"/>
      <c r="D3" s="232" t="s">
        <v>9</v>
      </c>
      <c r="E3" s="233"/>
      <c r="F3" s="233"/>
      <c r="G3" s="154" t="s">
        <v>160</v>
      </c>
      <c r="H3" s="154" t="s">
        <v>162</v>
      </c>
      <c r="I3" s="154"/>
    </row>
    <row r="4" spans="1:13" x14ac:dyDescent="0.25">
      <c r="A4" s="3" t="s">
        <v>0</v>
      </c>
      <c r="B4" s="3" t="s">
        <v>4</v>
      </c>
      <c r="C4" s="3"/>
      <c r="D4" s="26" t="s">
        <v>0</v>
      </c>
      <c r="E4" s="26" t="s">
        <v>2</v>
      </c>
      <c r="F4" s="153" t="s">
        <v>3</v>
      </c>
      <c r="G4" s="155" t="s">
        <v>209</v>
      </c>
      <c r="H4" s="155" t="s">
        <v>209</v>
      </c>
      <c r="I4" s="26" t="s">
        <v>158</v>
      </c>
      <c r="M4" s="143" t="s">
        <v>0</v>
      </c>
    </row>
    <row r="5" spans="1:13" ht="17.25" x14ac:dyDescent="0.25">
      <c r="A5" s="1" t="s">
        <v>207</v>
      </c>
      <c r="B5" s="12">
        <v>2.5</v>
      </c>
      <c r="C5" s="12" t="str">
        <f>A5&amp;" "&amp;B5</f>
        <v>SlimFix Reno+ 2,5</v>
      </c>
      <c r="D5" s="14" t="s">
        <v>7</v>
      </c>
      <c r="E5" s="8">
        <v>6</v>
      </c>
      <c r="F5" s="8" t="s">
        <v>23</v>
      </c>
      <c r="G5" s="8">
        <f>CEILING('SlimFix Reno+'!$D$29*'SlimFix Reno+'!$D$36/1000,1)</f>
        <v>0</v>
      </c>
      <c r="H5" s="8">
        <f>CEILING('SlimFix Reno+'!$D$40*'SlimFix Reno+'!$D$45/1000,1)</f>
        <v>0</v>
      </c>
      <c r="I5" s="8">
        <f>((G5*'SlimFix Reno+'!$D$32)+(H5*'SlimFix Reno+'!$D$42))*3</f>
        <v>0</v>
      </c>
      <c r="J5" s="14"/>
      <c r="K5" s="14"/>
      <c r="M5" s="164" t="str">
        <f>'SlimFix Reno+'!D11&amp;" "&amp;'SlimFix Reno+'!J11</f>
        <v xml:space="preserve">SlimFix Reno+ </v>
      </c>
    </row>
    <row r="6" spans="1:13" ht="17.25" x14ac:dyDescent="0.25">
      <c r="A6" s="1" t="s">
        <v>207</v>
      </c>
      <c r="B6" s="12">
        <v>3</v>
      </c>
      <c r="C6" s="150" t="str">
        <f t="shared" ref="C6:C13" si="0">A6&amp;" "&amp;B6</f>
        <v>SlimFix Reno+ 3</v>
      </c>
      <c r="D6" s="14" t="s">
        <v>7</v>
      </c>
      <c r="E6" s="8">
        <v>6</v>
      </c>
      <c r="F6" s="8" t="s">
        <v>23</v>
      </c>
      <c r="G6" s="151"/>
      <c r="H6" s="151"/>
      <c r="I6" s="151"/>
      <c r="J6" s="14" t="s">
        <v>219</v>
      </c>
      <c r="K6" s="14" t="s">
        <v>216</v>
      </c>
    </row>
    <row r="7" spans="1:13" ht="17.25" x14ac:dyDescent="0.25">
      <c r="A7" s="1" t="s">
        <v>207</v>
      </c>
      <c r="B7" s="12">
        <v>3.5</v>
      </c>
      <c r="C7" s="150" t="str">
        <f t="shared" si="0"/>
        <v>SlimFix Reno+ 3,5</v>
      </c>
      <c r="D7" s="14" t="s">
        <v>7</v>
      </c>
      <c r="E7" s="8">
        <v>6</v>
      </c>
      <c r="F7" s="8" t="s">
        <v>8</v>
      </c>
      <c r="G7" s="151"/>
      <c r="H7" s="151"/>
      <c r="I7" s="151"/>
      <c r="J7" s="14" t="s">
        <v>219</v>
      </c>
      <c r="K7" s="14" t="s">
        <v>216</v>
      </c>
    </row>
    <row r="8" spans="1:13" ht="17.25" x14ac:dyDescent="0.25">
      <c r="A8" s="1" t="s">
        <v>207</v>
      </c>
      <c r="B8" s="12">
        <v>4</v>
      </c>
      <c r="C8" s="150" t="str">
        <f t="shared" si="0"/>
        <v>SlimFix Reno+ 4</v>
      </c>
      <c r="D8" s="14" t="s">
        <v>7</v>
      </c>
      <c r="E8" s="8">
        <v>6</v>
      </c>
      <c r="F8" s="8" t="s">
        <v>13</v>
      </c>
      <c r="G8" s="151"/>
      <c r="H8" s="151"/>
      <c r="I8" s="151"/>
      <c r="J8" s="14" t="s">
        <v>220</v>
      </c>
      <c r="K8" s="14" t="s">
        <v>217</v>
      </c>
    </row>
    <row r="9" spans="1:13" ht="17.25" x14ac:dyDescent="0.25">
      <c r="A9" s="1" t="s">
        <v>207</v>
      </c>
      <c r="B9" s="12">
        <v>4.5</v>
      </c>
      <c r="C9" s="150" t="str">
        <f t="shared" si="0"/>
        <v>SlimFix Reno+ 4,5</v>
      </c>
      <c r="D9" s="14" t="s">
        <v>7</v>
      </c>
      <c r="E9" s="8">
        <v>6</v>
      </c>
      <c r="F9" s="8" t="s">
        <v>14</v>
      </c>
      <c r="G9" s="151"/>
      <c r="H9" s="151"/>
      <c r="I9" s="151"/>
      <c r="J9" s="14" t="s">
        <v>220</v>
      </c>
      <c r="K9" s="14" t="s">
        <v>217</v>
      </c>
    </row>
    <row r="10" spans="1:13" ht="17.25" x14ac:dyDescent="0.25">
      <c r="A10" s="1" t="s">
        <v>207</v>
      </c>
      <c r="B10" s="12">
        <v>5</v>
      </c>
      <c r="C10" s="150" t="str">
        <f t="shared" si="0"/>
        <v>SlimFix Reno+ 5</v>
      </c>
      <c r="D10" s="14" t="s">
        <v>7</v>
      </c>
      <c r="E10" s="8">
        <v>6</v>
      </c>
      <c r="F10" s="8" t="s">
        <v>14</v>
      </c>
      <c r="G10" s="151"/>
      <c r="H10" s="151"/>
      <c r="I10" s="151"/>
      <c r="J10" s="14" t="s">
        <v>220</v>
      </c>
      <c r="K10" s="14" t="s">
        <v>217</v>
      </c>
    </row>
    <row r="11" spans="1:13" ht="17.25" x14ac:dyDescent="0.25">
      <c r="A11" s="1" t="s">
        <v>207</v>
      </c>
      <c r="B11" s="12">
        <v>6.3</v>
      </c>
      <c r="C11" s="150" t="str">
        <f t="shared" si="0"/>
        <v>SlimFix Reno+ 6,3</v>
      </c>
      <c r="D11" s="14" t="s">
        <v>7</v>
      </c>
      <c r="E11" s="8">
        <v>6</v>
      </c>
      <c r="F11" s="8" t="s">
        <v>15</v>
      </c>
      <c r="G11" s="151"/>
      <c r="H11" s="151"/>
      <c r="I11" s="151"/>
      <c r="J11" s="14" t="s">
        <v>221</v>
      </c>
      <c r="K11" s="14" t="s">
        <v>218</v>
      </c>
    </row>
    <row r="12" spans="1:13" ht="17.25" x14ac:dyDescent="0.25">
      <c r="A12" s="1" t="s">
        <v>207</v>
      </c>
      <c r="B12" s="12">
        <v>7</v>
      </c>
      <c r="C12" s="150" t="str">
        <f t="shared" si="0"/>
        <v>SlimFix Reno+ 7</v>
      </c>
      <c r="D12" s="14" t="s">
        <v>7</v>
      </c>
      <c r="E12" s="8">
        <v>6</v>
      </c>
      <c r="F12" s="8" t="s">
        <v>16</v>
      </c>
      <c r="G12" s="151"/>
      <c r="H12" s="151"/>
      <c r="I12" s="151"/>
      <c r="J12" s="14" t="s">
        <v>221</v>
      </c>
      <c r="K12" s="14" t="s">
        <v>218</v>
      </c>
    </row>
    <row r="13" spans="1:13" ht="17.25" x14ac:dyDescent="0.25">
      <c r="A13" s="1" t="s">
        <v>207</v>
      </c>
      <c r="B13" s="12">
        <v>8</v>
      </c>
      <c r="C13" s="150" t="str">
        <f t="shared" si="0"/>
        <v>SlimFix Reno+ 8</v>
      </c>
      <c r="D13" s="14" t="s">
        <v>7</v>
      </c>
      <c r="E13" s="8">
        <v>6</v>
      </c>
      <c r="F13" s="8" t="s">
        <v>21</v>
      </c>
      <c r="G13" s="151"/>
      <c r="H13" s="151"/>
      <c r="I13" s="151"/>
      <c r="J13" s="14" t="s">
        <v>221</v>
      </c>
      <c r="K13" s="14" t="s">
        <v>218</v>
      </c>
    </row>
    <row r="15" spans="1:13" x14ac:dyDescent="0.25">
      <c r="A15" s="230" t="s">
        <v>222</v>
      </c>
      <c r="B15" s="231"/>
      <c r="C15" s="231"/>
      <c r="D15" s="231"/>
      <c r="E15" s="231"/>
      <c r="F15" s="231"/>
      <c r="G15" s="231"/>
      <c r="H15" s="231"/>
      <c r="I15" s="196"/>
      <c r="J15" s="196"/>
    </row>
    <row r="16" spans="1:13" x14ac:dyDescent="0.25">
      <c r="A16" s="231"/>
      <c r="B16" s="231"/>
      <c r="C16" s="231"/>
      <c r="D16" s="231"/>
      <c r="E16" s="231"/>
      <c r="F16" s="231"/>
      <c r="G16" s="231"/>
      <c r="H16" s="231"/>
      <c r="I16" s="196"/>
      <c r="J16" s="196"/>
    </row>
    <row r="17" spans="1:10" x14ac:dyDescent="0.25">
      <c r="A17" s="231"/>
      <c r="B17" s="231"/>
      <c r="C17" s="231"/>
      <c r="D17" s="231"/>
      <c r="E17" s="231"/>
      <c r="F17" s="231"/>
      <c r="G17" s="231"/>
      <c r="H17" s="231"/>
      <c r="I17" s="196"/>
      <c r="J17" s="196"/>
    </row>
    <row r="18" spans="1:10" x14ac:dyDescent="0.25">
      <c r="A18" s="231"/>
      <c r="B18" s="231"/>
      <c r="C18" s="231"/>
      <c r="D18" s="231"/>
      <c r="E18" s="231"/>
      <c r="F18" s="231"/>
      <c r="G18" s="231"/>
      <c r="H18" s="231"/>
      <c r="I18" s="196"/>
      <c r="J18" s="196"/>
    </row>
    <row r="19" spans="1:10" x14ac:dyDescent="0.25">
      <c r="A19" s="231"/>
      <c r="B19" s="231"/>
      <c r="C19" s="231"/>
      <c r="D19" s="231"/>
      <c r="E19" s="231"/>
      <c r="F19" s="231"/>
      <c r="G19" s="231"/>
      <c r="H19" s="231"/>
      <c r="I19" s="196"/>
      <c r="J19" s="196"/>
    </row>
  </sheetData>
  <autoFilter ref="A4:F13" xr:uid="{00000000-0009-0000-0000-000000000000}"/>
  <mergeCells count="5">
    <mergeCell ref="A15:J19"/>
    <mergeCell ref="A1:C3"/>
    <mergeCell ref="D1:F1"/>
    <mergeCell ref="D2:F2"/>
    <mergeCell ref="D3:F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3</vt:i4>
      </vt:variant>
    </vt:vector>
  </HeadingPairs>
  <TitlesOfParts>
    <vt:vector size="13" baseType="lpstr">
      <vt:lpstr>Blad1 (2)</vt:lpstr>
      <vt:lpstr>Menu</vt:lpstr>
      <vt:lpstr>SlimFix</vt:lpstr>
      <vt:lpstr>SlimFix Reno+</vt:lpstr>
      <vt:lpstr>SlimFix RenoTwin</vt:lpstr>
      <vt:lpstr>calcu</vt:lpstr>
      <vt:lpstr>lijst RC</vt:lpstr>
      <vt:lpstr> lijst slimfix</vt:lpstr>
      <vt:lpstr>lijst reno</vt:lpstr>
      <vt:lpstr>lijst renotwin</vt:lpstr>
      <vt:lpstr>SlimFix!Afdrukbereik</vt:lpstr>
      <vt:lpstr>'SlimFix Reno+'!Afdrukbereik</vt:lpstr>
      <vt:lpstr>'SlimFix RenoTwin'!Afdrukbereik</vt:lpstr>
    </vt:vector>
  </TitlesOfParts>
  <Company>Synbra Holding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Sleegers, Gerard</dc:creator>
  <cp:lastModifiedBy>Sleegers, Gerard</cp:lastModifiedBy>
  <cp:lastPrinted>2022-01-17T16:16:57Z</cp:lastPrinted>
  <dcterms:created xsi:type="dcterms:W3CDTF">2016-06-01T10:44:58Z</dcterms:created>
  <dcterms:modified xsi:type="dcterms:W3CDTF">2022-03-08T09:22:00Z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dc23eb-60fa-4f6d-a671-ef2efcb004e2_Enabled">
    <vt:lpwstr>true</vt:lpwstr>
  </property>
  <property fmtid="{D5CDD505-2E9C-101B-9397-08002B2CF9AE}" pid="3" name="MSIP_Label_11dc23eb-60fa-4f6d-a671-ef2efcb004e2_SetDate">
    <vt:lpwstr>2022-01-07T07:54:53Z</vt:lpwstr>
  </property>
  <property fmtid="{D5CDD505-2E9C-101B-9397-08002B2CF9AE}" pid="4" name="MSIP_Label_11dc23eb-60fa-4f6d-a671-ef2efcb004e2_Method">
    <vt:lpwstr>Standard</vt:lpwstr>
  </property>
  <property fmtid="{D5CDD505-2E9C-101B-9397-08002B2CF9AE}" pid="5" name="MSIP_Label_11dc23eb-60fa-4f6d-a671-ef2efcb004e2_Name">
    <vt:lpwstr>General</vt:lpwstr>
  </property>
  <property fmtid="{D5CDD505-2E9C-101B-9397-08002B2CF9AE}" pid="6" name="MSIP_Label_11dc23eb-60fa-4f6d-a671-ef2efcb004e2_SiteId">
    <vt:lpwstr>e9fcfa88-5448-4008-a2ce-31c25fd3d28f</vt:lpwstr>
  </property>
  <property fmtid="{D5CDD505-2E9C-101B-9397-08002B2CF9AE}" pid="7" name="MSIP_Label_11dc23eb-60fa-4f6d-a671-ef2efcb004e2_ActionId">
    <vt:lpwstr>99b42081-3c93-4b3b-a59f-ac344d3231bc</vt:lpwstr>
  </property>
  <property fmtid="{D5CDD505-2E9C-101B-9397-08002B2CF9AE}" pid="8" name="MSIP_Label_11dc23eb-60fa-4f6d-a671-ef2efcb004e2_ContentBits">
    <vt:lpwstr>0</vt:lpwstr>
  </property>
</Properties>
</file>